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https://netorgft9245156-my.sharepoint.com/personal/isa_isahaji_com/Documents/f_models/MU/"/>
    </mc:Choice>
  </mc:AlternateContent>
  <xr:revisionPtr revIDLastSave="0" documentId="8_{4FBD877A-4FDE-2142-9246-710F91D534FE}" xr6:coauthVersionLast="47" xr6:coauthVersionMax="47" xr10:uidLastSave="{00000000-0000-0000-0000-000000000000}"/>
  <bookViews>
    <workbookView xWindow="0" yWindow="620" windowWidth="38400" windowHeight="20980" activeTab="7" xr2:uid="{00000000-000D-0000-FFFF-FFFF00000000}"/>
  </bookViews>
  <sheets>
    <sheet name="Main" sheetId="1" r:id="rId1"/>
    <sheet name="Snapshot" sheetId="2" r:id="rId2"/>
    <sheet name="EPS" sheetId="3" r:id="rId3"/>
    <sheet name="Ratios" sheetId="4" r:id="rId4"/>
    <sheet name="Revenue" sheetId="5" r:id="rId5"/>
    <sheet name="DCF" sheetId="6" r:id="rId6"/>
    <sheet name="Assumptions" sheetId="7" r:id="rId7"/>
    <sheet name="Valuation Summary" sheetId="9" r:id="rId8"/>
  </sheets>
  <definedNames>
    <definedName name="_xlnm._FilterDatabase" localSheetId="0">Main!$A$1:$A$1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3" i="6" l="1"/>
  <c r="N43" i="6"/>
  <c r="M43" i="6"/>
  <c r="L43" i="6"/>
  <c r="K43" i="6"/>
  <c r="J43" i="6"/>
  <c r="F16" i="9"/>
  <c r="C25" i="9"/>
  <c r="C23" i="9"/>
  <c r="C6" i="9"/>
  <c r="C5" i="9"/>
  <c r="F28" i="7"/>
  <c r="C29" i="7"/>
  <c r="C25" i="7"/>
  <c r="C14" i="7"/>
  <c r="C8" i="7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I13" i="6"/>
  <c r="H13" i="6"/>
  <c r="G13" i="6"/>
  <c r="F13" i="6"/>
  <c r="E13" i="6"/>
  <c r="D13" i="6"/>
  <c r="C13" i="6"/>
  <c r="B13" i="6"/>
  <c r="I6" i="6"/>
  <c r="I9" i="6" s="1"/>
  <c r="H6" i="6"/>
  <c r="H9" i="6" s="1"/>
  <c r="G6" i="6"/>
  <c r="G9" i="6" s="1"/>
  <c r="G14" i="6" s="1"/>
  <c r="F6" i="6"/>
  <c r="F9" i="6" s="1"/>
  <c r="F14" i="6" s="1"/>
  <c r="E6" i="6"/>
  <c r="E9" i="6" s="1"/>
  <c r="D6" i="6"/>
  <c r="D9" i="6" s="1"/>
  <c r="C6" i="6"/>
  <c r="C9" i="6" s="1"/>
  <c r="B6" i="6"/>
  <c r="B9" i="6" s="1"/>
  <c r="J5" i="6"/>
  <c r="K5" i="6" s="1"/>
  <c r="L5" i="6" s="1"/>
  <c r="M5" i="6" s="1"/>
  <c r="N5" i="6" s="1"/>
  <c r="O5" i="6" s="1"/>
  <c r="J4" i="6"/>
  <c r="K4" i="6" s="1"/>
  <c r="L4" i="6" s="1"/>
  <c r="M4" i="6" s="1"/>
  <c r="N4" i="6" s="1"/>
  <c r="O4" i="6" s="1"/>
  <c r="J3" i="6"/>
  <c r="K3" i="6" s="1"/>
  <c r="J9" i="5"/>
  <c r="E18" i="4" s="1" a="1"/>
  <c r="E18" i="4" s="1"/>
  <c r="I9" i="5"/>
  <c r="H9" i="5"/>
  <c r="G9" i="5"/>
  <c r="F9" i="5"/>
  <c r="E9" i="5"/>
  <c r="D9" i="5"/>
  <c r="C9" i="5"/>
  <c r="E20" i="4"/>
  <c r="C18" i="4" s="1"/>
  <c r="C19" i="4"/>
  <c r="C8" i="4" a="1"/>
  <c r="C8" i="4"/>
  <c r="C7" i="4" a="1"/>
  <c r="C7" i="4" s="1"/>
  <c r="C11" i="4" s="1"/>
  <c r="J9" i="3"/>
  <c r="I9" i="3"/>
  <c r="H9" i="3"/>
  <c r="G9" i="3"/>
  <c r="F9" i="3"/>
  <c r="E9" i="3"/>
  <c r="D9" i="3"/>
  <c r="C9" i="3"/>
  <c r="C10" i="2"/>
  <c r="C6" i="2"/>
  <c r="C7" i="9" s="1"/>
  <c r="D14" i="6" l="1"/>
  <c r="E14" i="6"/>
  <c r="C14" i="6"/>
  <c r="B14" i="6"/>
  <c r="H14" i="6"/>
  <c r="H32" i="6" s="1"/>
  <c r="I14" i="6"/>
  <c r="I15" i="6" s="1"/>
  <c r="C24" i="9"/>
  <c r="C30" i="7"/>
  <c r="B15" i="6"/>
  <c r="B32" i="6"/>
  <c r="D32" i="6"/>
  <c r="D15" i="6"/>
  <c r="L3" i="6"/>
  <c r="K6" i="6"/>
  <c r="I32" i="6"/>
  <c r="C32" i="6"/>
  <c r="C15" i="6"/>
  <c r="E15" i="6"/>
  <c r="E32" i="6"/>
  <c r="F15" i="6"/>
  <c r="F32" i="6"/>
  <c r="G15" i="6"/>
  <c r="G32" i="6"/>
  <c r="C11" i="2"/>
  <c r="C8" i="9" s="1"/>
  <c r="C5" i="4" a="1"/>
  <c r="C5" i="4" s="1"/>
  <c r="J6" i="6"/>
  <c r="H15" i="6" l="1"/>
  <c r="C22" i="9"/>
  <c r="C6" i="4" a="1"/>
  <c r="C6" i="4" s="1"/>
  <c r="C12" i="2"/>
  <c r="M3" i="6"/>
  <c r="L6" i="6"/>
  <c r="C15" i="4"/>
  <c r="C14" i="4"/>
  <c r="K10" i="6"/>
  <c r="K8" i="6"/>
  <c r="K9" i="6" s="1"/>
  <c r="K11" i="6"/>
  <c r="K24" i="6"/>
  <c r="J10" i="6"/>
  <c r="J8" i="6"/>
  <c r="J9" i="6" s="1"/>
  <c r="J11" i="6"/>
  <c r="J24" i="6"/>
  <c r="F25" i="7" l="1"/>
  <c r="C14" i="9"/>
  <c r="K13" i="6"/>
  <c r="K14" i="6" s="1"/>
  <c r="K15" i="6" s="1"/>
  <c r="J23" i="6"/>
  <c r="B18" i="7"/>
  <c r="L24" i="6"/>
  <c r="L10" i="6"/>
  <c r="L8" i="6"/>
  <c r="L9" i="6" s="1"/>
  <c r="L11" i="6"/>
  <c r="J13" i="6"/>
  <c r="J14" i="6" s="1"/>
  <c r="M6" i="6"/>
  <c r="N3" i="6"/>
  <c r="C18" i="7"/>
  <c r="K23" i="6"/>
  <c r="C12" i="4"/>
  <c r="C13" i="4"/>
  <c r="K32" i="6" l="1"/>
  <c r="L13" i="6"/>
  <c r="L14" i="6" s="1"/>
  <c r="N6" i="6"/>
  <c r="O3" i="6"/>
  <c r="O6" i="6" s="1"/>
  <c r="J32" i="6"/>
  <c r="J15" i="6"/>
  <c r="D18" i="7"/>
  <c r="L23" i="6"/>
  <c r="M24" i="6"/>
  <c r="M10" i="6"/>
  <c r="M8" i="6"/>
  <c r="M9" i="6" s="1"/>
  <c r="M11" i="6"/>
  <c r="L15" i="6" l="1"/>
  <c r="L32" i="6"/>
  <c r="E18" i="7"/>
  <c r="M23" i="6"/>
  <c r="O11" i="6"/>
  <c r="O10" i="6"/>
  <c r="O8" i="6"/>
  <c r="O9" i="6" s="1"/>
  <c r="O24" i="6"/>
  <c r="N11" i="6"/>
  <c r="N10" i="6"/>
  <c r="N8" i="6"/>
  <c r="N9" i="6" s="1"/>
  <c r="N24" i="6"/>
  <c r="M13" i="6"/>
  <c r="M14" i="6" s="1"/>
  <c r="O13" i="6" l="1"/>
  <c r="O14" i="6" s="1"/>
  <c r="O15" i="6" s="1"/>
  <c r="N13" i="6"/>
  <c r="N14" i="6" s="1"/>
  <c r="N15" i="6" s="1"/>
  <c r="M32" i="6"/>
  <c r="M15" i="6"/>
  <c r="F18" i="7"/>
  <c r="N23" i="6"/>
  <c r="G18" i="7"/>
  <c r="O23" i="6"/>
  <c r="N32" i="6" l="1"/>
  <c r="O32" i="6"/>
  <c r="F23" i="7" s="1"/>
  <c r="F22" i="7" l="1"/>
  <c r="F21" i="7"/>
  <c r="G8" i="9" s="1"/>
  <c r="C12" i="9"/>
  <c r="J10" i="9" l="1"/>
  <c r="H7" i="9"/>
  <c r="C11" i="9"/>
  <c r="J7" i="9"/>
  <c r="I10" i="9"/>
  <c r="G10" i="9"/>
  <c r="I8" i="9"/>
  <c r="F8" i="9"/>
  <c r="F24" i="7"/>
  <c r="G11" i="9"/>
  <c r="H8" i="9"/>
  <c r="J11" i="9"/>
  <c r="H10" i="9"/>
  <c r="F10" i="9"/>
  <c r="F9" i="9"/>
  <c r="G9" i="9"/>
  <c r="H9" i="9"/>
  <c r="I7" i="9"/>
  <c r="I9" i="9"/>
  <c r="G7" i="9"/>
  <c r="J8" i="9"/>
  <c r="H11" i="9"/>
  <c r="J9" i="9"/>
  <c r="F11" i="9"/>
  <c r="F7" i="9"/>
  <c r="I11" i="9"/>
  <c r="F21" i="9" l="1"/>
  <c r="C13" i="9"/>
  <c r="F26" i="7"/>
  <c r="F20" i="9"/>
  <c r="C15" i="9" l="1"/>
  <c r="F27" i="7"/>
  <c r="F29" i="7" l="1"/>
  <c r="C19" i="9" s="1"/>
  <c r="F17" i="9" s="1"/>
  <c r="C17" i="9"/>
  <c r="F1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<sst xmlns="http://schemas.openxmlformats.org/spreadsheetml/2006/main" count="172" uniqueCount="141">
  <si>
    <t>Company Overview</t>
  </si>
  <si>
    <t>Company</t>
  </si>
  <si>
    <t>Micron Technology</t>
  </si>
  <si>
    <t>Ticker</t>
  </si>
  <si>
    <t>$MU</t>
  </si>
  <si>
    <t>Management</t>
  </si>
  <si>
    <t>CEO</t>
  </si>
  <si>
    <t>Sanjay Mehrotra</t>
  </si>
  <si>
    <t>CFO</t>
  </si>
  <si>
    <t>Mark Murphy</t>
  </si>
  <si>
    <t>CTO</t>
  </si>
  <si>
    <t>Scott J. DeBoer</t>
  </si>
  <si>
    <t>Company Info</t>
  </si>
  <si>
    <t>Sector</t>
  </si>
  <si>
    <t>Semiconductor</t>
  </si>
  <si>
    <t>Founded</t>
  </si>
  <si>
    <t>Market Snapshot</t>
  </si>
  <si>
    <t>Shares Outstanding</t>
  </si>
  <si>
    <t>Share Price</t>
  </si>
  <si>
    <t>Market Cap</t>
  </si>
  <si>
    <t>Cash &amp; Cash Equivalents</t>
  </si>
  <si>
    <t>Short Term Debt</t>
  </si>
  <si>
    <t>Long Term Debt</t>
  </si>
  <si>
    <t>Total Debt</t>
  </si>
  <si>
    <t>Enterprise Value</t>
  </si>
  <si>
    <t>Net Debt</t>
  </si>
  <si>
    <t>Earnings Per Share Analysis</t>
  </si>
  <si>
    <t>Net Income</t>
  </si>
  <si>
    <t>Preferred Dividends</t>
  </si>
  <si>
    <t>Diluted Shares Outstanding</t>
  </si>
  <si>
    <t>EPS</t>
  </si>
  <si>
    <t>Valuation &amp; Financial Ratios</t>
  </si>
  <si>
    <t>Valuation Metrics</t>
  </si>
  <si>
    <t>EPS (TTM)</t>
  </si>
  <si>
    <t>Valuation Ratios</t>
  </si>
  <si>
    <t>P/E</t>
  </si>
  <si>
    <t>EV/EBITDA</t>
  </si>
  <si>
    <t>EV/Sales</t>
  </si>
  <si>
    <t>P/FCF</t>
  </si>
  <si>
    <t>P/B</t>
  </si>
  <si>
    <t>Financial Data</t>
  </si>
  <si>
    <t>Leverage</t>
  </si>
  <si>
    <t>EBITDA</t>
  </si>
  <si>
    <t>BVPS</t>
  </si>
  <si>
    <t>Revenue</t>
  </si>
  <si>
    <t>Debt/Equity</t>
  </si>
  <si>
    <t>FCF</t>
  </si>
  <si>
    <t>Book Value</t>
  </si>
  <si>
    <t>Total Assets</t>
  </si>
  <si>
    <t>Total Liabilities</t>
  </si>
  <si>
    <t>Revenue Breakdown</t>
  </si>
  <si>
    <t>DRAM</t>
  </si>
  <si>
    <t>NAND</t>
  </si>
  <si>
    <t>Other</t>
  </si>
  <si>
    <t>Total Revenue</t>
  </si>
  <si>
    <t>Discounted Cash Flow Model</t>
  </si>
  <si>
    <t>2018A</t>
  </si>
  <si>
    <t>2019A</t>
  </si>
  <si>
    <t>2020A</t>
  </si>
  <si>
    <t>2021A</t>
  </si>
  <si>
    <t>2022A</t>
  </si>
  <si>
    <t>2023A</t>
  </si>
  <si>
    <t>2024A</t>
  </si>
  <si>
    <t>2025A</t>
  </si>
  <si>
    <t>2026E</t>
  </si>
  <si>
    <t>2027E</t>
  </si>
  <si>
    <t>2028E</t>
  </si>
  <si>
    <t>2029E</t>
  </si>
  <si>
    <t>2030E</t>
  </si>
  <si>
    <t>2031E</t>
  </si>
  <si>
    <t xml:space="preserve">Revenue </t>
  </si>
  <si>
    <t>COGS</t>
  </si>
  <si>
    <t>Gross Profit</t>
  </si>
  <si>
    <t>R&amp;D</t>
  </si>
  <si>
    <t>SG&amp;A</t>
  </si>
  <si>
    <t>OpEx</t>
  </si>
  <si>
    <t>EBIT</t>
  </si>
  <si>
    <t>Effective Tax Rate</t>
  </si>
  <si>
    <t>Interest Expense</t>
  </si>
  <si>
    <t>Debt Issued</t>
  </si>
  <si>
    <t>Debt Repayment</t>
  </si>
  <si>
    <t>D&amp;A</t>
  </si>
  <si>
    <t>CapEx</t>
  </si>
  <si>
    <t>Receivables</t>
  </si>
  <si>
    <t>Inventories</t>
  </si>
  <si>
    <t>Accounts payable</t>
  </si>
  <si>
    <t>WC</t>
  </si>
  <si>
    <t>Bit Growth DRAM</t>
  </si>
  <si>
    <t>ASP Growth DRAM</t>
  </si>
  <si>
    <t>Bit Growth NAND</t>
  </si>
  <si>
    <t>ASP Growth NAND</t>
  </si>
  <si>
    <t>Utilization Index</t>
  </si>
  <si>
    <t xml:space="preserve">PV </t>
  </si>
  <si>
    <t>Capital Assumptions</t>
  </si>
  <si>
    <t>Valuation Output</t>
  </si>
  <si>
    <t>Growth Rate</t>
  </si>
  <si>
    <t>PV of Free Cash Flows</t>
  </si>
  <si>
    <t>Risk Free Rate</t>
  </si>
  <si>
    <t>PV of Terminal Value</t>
  </si>
  <si>
    <t>Equity Risk Premium</t>
  </si>
  <si>
    <t>Terminal Value</t>
  </si>
  <si>
    <t>Beta</t>
  </si>
  <si>
    <t>Cost of Equity</t>
  </si>
  <si>
    <t>Less: Net Debt</t>
  </si>
  <si>
    <t>Cost of Debt</t>
  </si>
  <si>
    <t>Equity Value</t>
  </si>
  <si>
    <t>Tax Rate</t>
  </si>
  <si>
    <t>Implied Share Price</t>
  </si>
  <si>
    <t>Weight of Equity</t>
  </si>
  <si>
    <t>Current Price</t>
  </si>
  <si>
    <t>Weight of Debt</t>
  </si>
  <si>
    <t>Upside / (Downside)</t>
  </si>
  <si>
    <t>WACC</t>
  </si>
  <si>
    <t>Model Assumptions</t>
  </si>
  <si>
    <t>DRAM Market Growth</t>
  </si>
  <si>
    <t>Initial Market Size</t>
  </si>
  <si>
    <t>Final Market Size</t>
  </si>
  <si>
    <t>Years</t>
  </si>
  <si>
    <t>CAGR</t>
  </si>
  <si>
    <t>NAND Market Growth</t>
  </si>
  <si>
    <t>CapEx Intensity (% of Revenue)</t>
  </si>
  <si>
    <t>Micron Technology (MU) - Valuation Summary</t>
  </si>
  <si>
    <t>Current Trading Data</t>
  </si>
  <si>
    <t>Sensitivity Analysis - Implied Share Price</t>
  </si>
  <si>
    <t>Current Share Price</t>
  </si>
  <si>
    <t>WACC →</t>
  </si>
  <si>
    <t>Shares Outstanding (M)</t>
  </si>
  <si>
    <t>Terminal Growth ↓</t>
  </si>
  <si>
    <t>DCF Valuation</t>
  </si>
  <si>
    <t>Enterprise Value (DCF)</t>
  </si>
  <si>
    <t>Investment Recommendation</t>
  </si>
  <si>
    <t>Rating</t>
  </si>
  <si>
    <t>BUY</t>
  </si>
  <si>
    <t>Price Target</t>
  </si>
  <si>
    <t>Upside</t>
  </si>
  <si>
    <t>Valuation Range (Sensitivity)</t>
  </si>
  <si>
    <t>Low</t>
  </si>
  <si>
    <t>Key Assumptions</t>
  </si>
  <si>
    <t>High</t>
  </si>
  <si>
    <t>Terminal Growth Rate</t>
  </si>
  <si>
    <t>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</si>
</sst>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[$$-409]* #,##0.0_);_([$$-409]* \(#,##0.0\);_([$$-409]* &quot;-&quot;??_);_(@_)"/>
    <numFmt numFmtId="165" formatCode="_(* #,##0_);_(* \(#,##0\);_(* &quot;-&quot;??_);_(@_)"/>
    <numFmt numFmtId="166" formatCode="#,##0.0"/>
    <numFmt numFmtId="167" formatCode="0.0%"/>
  </numFmts>
  <fonts count="32" x14ac:knownFonts="1"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rgb="FFFFFFFF"/>
      <name val="Calibri"/>
      <family val="2"/>
    </font>
    <font>
      <i/>
      <sz val="11"/>
      <color rgb="FF808080"/>
      <name val="Calibri"/>
      <family val="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sz val="12"/>
      <color rgb="FFFFFFFF"/>
      <name val="Calibri"/>
      <family val="2"/>
    </font>
    <font>
      <sz val="11"/>
      <color rgb="FF808080"/>
      <name val="Calibri"/>
      <family val="2"/>
    </font>
    <font>
      <sz val="11"/>
      <color rgb="FF0000FF"/>
      <name val="Calibri"/>
      <family val="2"/>
    </font>
    <font>
      <b/>
      <sz val="11"/>
      <color rgb="FF80808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rgb="FF008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006400"/>
      <name val="Calibri"/>
      <family val="2"/>
      <scheme val="minor"/>
    </font>
    <font>
      <b/>
      <sz val="11"/>
      <color rgb="FF006400"/>
      <name val="Calibri"/>
      <family val="2"/>
      <scheme val="minor"/>
    </font>
    <font>
      <b/>
      <sz val="11"/>
      <color rgb="FF808080"/>
      <name val="Calibri"/>
      <family val="2"/>
      <scheme val="minor"/>
    </font>
    <font>
      <b/>
      <sz val="12"/>
      <color rgb="FF008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1F4E79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3" tint="0.89999084444715716"/>
        <bgColor indexed="65"/>
      </patternFill>
    </fill>
    <fill>
      <patternFill patternType="solid">
        <fgColor rgb="FF1F4E79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D9D9D9"/>
      </right>
      <top/>
      <bottom/>
      <diagonal/>
    </border>
    <border>
      <left/>
      <right style="thin">
        <color rgb="FFD9D9D9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1"/>
    <xf numFmtId="43" fontId="21" fillId="0" borderId="1" applyFont="0" applyFill="0" applyBorder="0" applyAlignment="0" applyProtection="0"/>
    <xf numFmtId="0" fontId="1" fillId="0" borderId="1" applyNumberFormat="0" applyFill="0" applyBorder="0" applyAlignment="0" applyProtection="0"/>
    <xf numFmtId="9" fontId="21" fillId="0" borderId="1" applyFont="0" applyFill="0" applyBorder="0" applyAlignment="0" applyProtection="0"/>
  </cellStyleXfs>
  <cellXfs count="77">
    <xf numFmtId="0" fontId="0" fillId="0" borderId="1" xfId="0"/>
    <xf numFmtId="1" fontId="2" fillId="0" borderId="1" xfId="0" applyNumberFormat="1" applyFont="1"/>
    <xf numFmtId="0" fontId="3" fillId="3" borderId="2" xfId="0" applyFont="1" applyFill="1" applyBorder="1"/>
    <xf numFmtId="0" fontId="4" fillId="0" borderId="1" xfId="0" applyFont="1"/>
    <xf numFmtId="0" fontId="5" fillId="0" borderId="1" xfId="0" applyFont="1"/>
    <xf numFmtId="0" fontId="6" fillId="0" borderId="3" xfId="0" applyFont="1" applyBorder="1"/>
    <xf numFmtId="4" fontId="6" fillId="0" borderId="3" xfId="0" applyNumberFormat="1" applyFont="1" applyBorder="1"/>
    <xf numFmtId="0" fontId="2" fillId="0" borderId="1" xfId="0" applyFont="1"/>
    <xf numFmtId="0" fontId="7" fillId="3" borderId="2" xfId="0" applyFont="1" applyFill="1" applyBorder="1"/>
    <xf numFmtId="0" fontId="8" fillId="0" borderId="4" xfId="0" applyFont="1" applyBorder="1"/>
    <xf numFmtId="164" fontId="9" fillId="2" borderId="1" xfId="0" applyNumberFormat="1" applyFont="1" applyFill="1" applyAlignment="1">
      <alignment horizontal="right"/>
    </xf>
    <xf numFmtId="0" fontId="10" fillId="0" borderId="4" xfId="0" applyFont="1" applyBorder="1"/>
    <xf numFmtId="164" fontId="11" fillId="2" borderId="1" xfId="0" applyNumberFormat="1" applyFont="1" applyFill="1" applyAlignment="1">
      <alignment horizontal="right"/>
    </xf>
    <xf numFmtId="0" fontId="8" fillId="0" borderId="5" xfId="0" applyFont="1" applyBorder="1"/>
    <xf numFmtId="164" fontId="12" fillId="2" borderId="3" xfId="0" applyNumberFormat="1" applyFont="1" applyFill="1" applyBorder="1" applyAlignment="1">
      <alignment horizontal="right"/>
    </xf>
    <xf numFmtId="0" fontId="13" fillId="0" borderId="3" xfId="0" applyFont="1" applyBorder="1" applyAlignment="1">
      <alignment horizontal="center"/>
    </xf>
    <xf numFmtId="0" fontId="14" fillId="0" borderId="6" xfId="0" applyFont="1" applyBorder="1"/>
    <xf numFmtId="164" fontId="15" fillId="0" borderId="1" xfId="0" applyNumberFormat="1" applyFont="1"/>
    <xf numFmtId="0" fontId="13" fillId="0" borderId="6" xfId="0" applyFont="1" applyBorder="1"/>
    <xf numFmtId="4" fontId="11" fillId="0" borderId="7" xfId="0" applyNumberFormat="1" applyFont="1" applyBorder="1"/>
    <xf numFmtId="0" fontId="13" fillId="0" borderId="3" xfId="0" applyFont="1" applyBorder="1"/>
    <xf numFmtId="0" fontId="8" fillId="0" borderId="1" xfId="0" applyFont="1"/>
    <xf numFmtId="164" fontId="16" fillId="0" borderId="1" xfId="0" applyNumberFormat="1" applyFont="1"/>
    <xf numFmtId="4" fontId="16" fillId="0" borderId="1" xfId="0" applyNumberFormat="1" applyFont="1"/>
    <xf numFmtId="4" fontId="17" fillId="0" borderId="1" xfId="0" applyNumberFormat="1" applyFont="1"/>
    <xf numFmtId="10" fontId="16" fillId="0" borderId="1" xfId="0" applyNumberFormat="1" applyFont="1"/>
    <xf numFmtId="164" fontId="17" fillId="0" borderId="1" xfId="0" applyNumberFormat="1" applyFont="1"/>
    <xf numFmtId="164" fontId="11" fillId="0" borderId="7" xfId="0" applyNumberFormat="1" applyFont="1" applyBorder="1"/>
    <xf numFmtId="0" fontId="0" fillId="0" borderId="8" xfId="0" applyBorder="1"/>
    <xf numFmtId="14" fontId="18" fillId="4" borderId="3" xfId="0" applyNumberFormat="1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0" fillId="0" borderId="6" xfId="0" applyBorder="1"/>
    <xf numFmtId="165" fontId="9" fillId="0" borderId="1" xfId="0" applyNumberFormat="1" applyFont="1"/>
    <xf numFmtId="165" fontId="12" fillId="0" borderId="1" xfId="0" applyNumberFormat="1" applyFont="1"/>
    <xf numFmtId="0" fontId="19" fillId="0" borderId="6" xfId="0" applyFont="1" applyBorder="1"/>
    <xf numFmtId="165" fontId="11" fillId="0" borderId="1" xfId="0" applyNumberFormat="1" applyFont="1"/>
    <xf numFmtId="165" fontId="0" fillId="0" borderId="1" xfId="0" applyNumberFormat="1"/>
    <xf numFmtId="9" fontId="0" fillId="0" borderId="1" xfId="3" applyFont="1"/>
    <xf numFmtId="43" fontId="0" fillId="0" borderId="1" xfId="1" applyFont="1"/>
    <xf numFmtId="165" fontId="0" fillId="0" borderId="1" xfId="1" applyNumberFormat="1" applyFont="1"/>
    <xf numFmtId="10" fontId="9" fillId="0" borderId="1" xfId="0" applyNumberFormat="1" applyFont="1"/>
    <xf numFmtId="9" fontId="19" fillId="0" borderId="1" xfId="0" applyNumberFormat="1" applyFont="1"/>
    <xf numFmtId="0" fontId="19" fillId="0" borderId="1" xfId="0" applyFont="1"/>
    <xf numFmtId="43" fontId="9" fillId="0" borderId="1" xfId="0" applyNumberFormat="1" applyFont="1"/>
    <xf numFmtId="43" fontId="0" fillId="0" borderId="1" xfId="3" applyNumberFormat="1" applyFont="1"/>
    <xf numFmtId="164" fontId="20" fillId="0" borderId="1" xfId="0" applyNumberFormat="1" applyFont="1"/>
    <xf numFmtId="3" fontId="15" fillId="0" borderId="1" xfId="0" applyNumberFormat="1" applyFont="1"/>
    <xf numFmtId="10" fontId="11" fillId="0" borderId="1" xfId="0" applyNumberFormat="1" applyFont="1"/>
    <xf numFmtId="0" fontId="14" fillId="0" borderId="1" xfId="0" applyFont="1" applyAlignment="1">
      <alignment horizontal="center"/>
    </xf>
    <xf numFmtId="0" fontId="21" fillId="0" borderId="1" xfId="0" applyFont="1"/>
    <xf numFmtId="0" fontId="22" fillId="6" borderId="1" xfId="0" applyFont="1" applyFill="1"/>
    <xf numFmtId="0" fontId="23" fillId="0" borderId="1" xfId="0" applyFont="1"/>
    <xf numFmtId="10" fontId="0" fillId="0" borderId="1" xfId="0" applyNumberFormat="1"/>
    <xf numFmtId="166" fontId="0" fillId="0" borderId="1" xfId="0" applyNumberFormat="1"/>
    <xf numFmtId="10" fontId="19" fillId="0" borderId="1" xfId="0" applyNumberFormat="1" applyFont="1"/>
    <xf numFmtId="164" fontId="0" fillId="0" borderId="1" xfId="0" applyNumberFormat="1"/>
    <xf numFmtId="164" fontId="19" fillId="0" borderId="1" xfId="0" applyNumberFormat="1" applyFont="1"/>
    <xf numFmtId="164" fontId="24" fillId="0" borderId="1" xfId="0" applyNumberFormat="1" applyFont="1"/>
    <xf numFmtId="10" fontId="15" fillId="0" borderId="1" xfId="0" applyNumberFormat="1" applyFont="1"/>
    <xf numFmtId="166" fontId="15" fillId="0" borderId="1" xfId="0" applyNumberFormat="1" applyFont="1"/>
    <xf numFmtId="10" fontId="17" fillId="0" borderId="1" xfId="0" applyNumberFormat="1" applyFont="1"/>
    <xf numFmtId="10" fontId="25" fillId="0" borderId="1" xfId="0" applyNumberFormat="1" applyFont="1"/>
    <xf numFmtId="164" fontId="21" fillId="0" borderId="1" xfId="0" applyNumberFormat="1" applyFont="1"/>
    <xf numFmtId="0" fontId="26" fillId="6" borderId="1" xfId="0" applyFont="1" applyFill="1"/>
    <xf numFmtId="0" fontId="19" fillId="7" borderId="1" xfId="0" applyFont="1" applyFill="1"/>
    <xf numFmtId="0" fontId="19" fillId="7" borderId="1" xfId="0" applyFont="1" applyFill="1" applyAlignment="1">
      <alignment horizontal="center"/>
    </xf>
    <xf numFmtId="0" fontId="27" fillId="0" borderId="1" xfId="0" applyFont="1" applyAlignment="1">
      <alignment horizontal="center"/>
    </xf>
    <xf numFmtId="10" fontId="27" fillId="7" borderId="1" xfId="0" applyNumberFormat="1" applyFont="1" applyFill="1" applyAlignment="1">
      <alignment horizontal="center"/>
    </xf>
    <xf numFmtId="0" fontId="28" fillId="0" borderId="1" xfId="0" applyFont="1"/>
    <xf numFmtId="167" fontId="29" fillId="0" borderId="1" xfId="0" applyNumberFormat="1" applyFont="1"/>
    <xf numFmtId="0" fontId="30" fillId="7" borderId="1" xfId="0" applyFont="1" applyFill="1"/>
    <xf numFmtId="164" fontId="31" fillId="0" borderId="1" xfId="0" applyNumberFormat="1" applyFont="1"/>
    <xf numFmtId="167" fontId="24" fillId="0" borderId="1" xfId="0" applyNumberFormat="1" applyFont="1"/>
    <xf numFmtId="164" fontId="0" fillId="0" borderId="1" xfId="0" applyNumberFormat="1" applyAlignment="1">
      <alignment horizontal="center"/>
    </xf>
    <xf numFmtId="164" fontId="19" fillId="8" borderId="1" xfId="0" applyNumberFormat="1" applyFont="1" applyFill="1" applyAlignment="1">
      <alignment horizontal="center"/>
    </xf>
    <xf numFmtId="0" fontId="0" fillId="0" borderId="1" xfId="0"/>
  </cellXfs>
  <cellStyles count="4">
    <cellStyle name="Comma" xfId="1" builtinId="3"/>
    <cellStyle name="Hyperlink" xfId="2" xr:uid="{00000000-0005-0000-0000-000004000000}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C30790B-5E5B-BA4A-AC23-9C5FCC1195F9}">
  <we:reference id="4fb63e59-4fed-4be3-ac28-ba7f1a5f3193" version="1.0.0.3" store="EXCatalog" storeType="EXCatalog"/>
  <we:alternateReferences>
    <we:reference id="WA200009152" version="1.0.0.3" store="en-US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D3B5-A488-8408-6368-C4484F9A3DC8}">
  <dimension ref="A1:C14"/>
  <sheetViews>
    <sheetView showGridLines="0" workbookViewId="0">
      <selection activeCell="B2" sqref="B2"/>
    </sheetView>
  </sheetViews>
  <sheetFormatPr baseColWidth="10" defaultColWidth="8.83203125" defaultRowHeight="15" customHeight="1" x14ac:dyDescent="0.2"/>
  <cols>
    <col min="1" max="1" width="33.6640625" style="7" customWidth="1"/>
    <col min="2" max="2" width="17.1640625" style="7" customWidth="1"/>
    <col min="3" max="3" width="21.5" style="7" customWidth="1"/>
  </cols>
  <sheetData>
    <row r="1" spans="2:3" ht="16.5" customHeight="1" x14ac:dyDescent="0.2">
      <c r="C1" s="1"/>
    </row>
    <row r="2" spans="2:3" ht="17.25" customHeight="1" x14ac:dyDescent="0.2">
      <c r="B2" s="2" t="s">
        <v>0</v>
      </c>
      <c r="C2" s="2"/>
    </row>
    <row r="4" spans="2:3" ht="16.5" customHeight="1" x14ac:dyDescent="0.2">
      <c r="B4" s="3" t="s">
        <v>1</v>
      </c>
      <c r="C4" s="4" t="s">
        <v>2</v>
      </c>
    </row>
    <row r="5" spans="2:3" ht="16.5" customHeight="1" x14ac:dyDescent="0.2">
      <c r="B5" s="3" t="s">
        <v>3</v>
      </c>
      <c r="C5" s="4" t="s">
        <v>4</v>
      </c>
    </row>
    <row r="7" spans="2:3" ht="16.5" customHeight="1" x14ac:dyDescent="0.2">
      <c r="B7" s="5" t="s">
        <v>5</v>
      </c>
    </row>
    <row r="8" spans="2:3" ht="16.5" customHeight="1" x14ac:dyDescent="0.2">
      <c r="B8" s="3" t="s">
        <v>6</v>
      </c>
      <c r="C8" s="4" t="s">
        <v>7</v>
      </c>
    </row>
    <row r="9" spans="2:3" ht="16.5" customHeight="1" x14ac:dyDescent="0.2">
      <c r="B9" s="3" t="s">
        <v>8</v>
      </c>
      <c r="C9" s="4" t="s">
        <v>9</v>
      </c>
    </row>
    <row r="10" spans="2:3" ht="16.5" customHeight="1" x14ac:dyDescent="0.2">
      <c r="B10" s="3" t="s">
        <v>10</v>
      </c>
      <c r="C10" s="4" t="s">
        <v>11</v>
      </c>
    </row>
    <row r="11" spans="2:3" ht="15" customHeight="1" x14ac:dyDescent="0.2">
      <c r="B11" s="1"/>
    </row>
    <row r="12" spans="2:3" ht="16.5" customHeight="1" x14ac:dyDescent="0.2">
      <c r="B12" s="6" t="s">
        <v>12</v>
      </c>
    </row>
    <row r="13" spans="2:3" ht="16.5" customHeight="1" x14ac:dyDescent="0.2">
      <c r="B13" s="3" t="s">
        <v>13</v>
      </c>
      <c r="C13" s="4" t="s">
        <v>14</v>
      </c>
    </row>
    <row r="14" spans="2:3" ht="16.5" customHeight="1" x14ac:dyDescent="0.2">
      <c r="B14" s="3" t="s">
        <v>15</v>
      </c>
      <c r="C14" s="4">
        <v>1978</v>
      </c>
    </row>
  </sheetData>
  <pageMargins left="0.75" right="0.75" top="1" bottom="1" header="0.5" footer="0.5"/>
  <pageSetup orientation="portrait"/>
  <headerFooter>
    <oddHeader>&amp;L&amp;C&amp;R</oddHeader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7D4E8-4E36-6A8A-E84E-CF9E17ED1F98}">
  <dimension ref="B1:C12"/>
  <sheetViews>
    <sheetView showGridLines="0" workbookViewId="0">
      <selection activeCell="A9" sqref="A9"/>
    </sheetView>
  </sheetViews>
  <sheetFormatPr baseColWidth="10" defaultColWidth="11.5" defaultRowHeight="15" customHeight="1" x14ac:dyDescent="0.2"/>
  <cols>
    <col min="1" max="1" width="21.83203125" customWidth="1"/>
    <col min="2" max="2" width="22.83203125" customWidth="1"/>
    <col min="3" max="3" width="14.33203125" customWidth="1"/>
  </cols>
  <sheetData>
    <row r="1" spans="2:3" ht="17.25" customHeight="1" x14ac:dyDescent="0.2"/>
    <row r="2" spans="2:3" ht="17.25" customHeight="1" x14ac:dyDescent="0.2">
      <c r="B2" s="8" t="s">
        <v>16</v>
      </c>
      <c r="C2" s="8"/>
    </row>
    <row r="4" spans="2:3" ht="15.75" customHeight="1" x14ac:dyDescent="0.2">
      <c r="B4" s="9" t="s">
        <v>17</v>
      </c>
      <c r="C4" s="10">
        <v>1125</v>
      </c>
    </row>
    <row r="5" spans="2:3" ht="15.75" customHeight="1" x14ac:dyDescent="0.2">
      <c r="B5" s="9" t="s">
        <v>18</v>
      </c>
      <c r="C5" s="10">
        <v>224</v>
      </c>
    </row>
    <row r="6" spans="2:3" ht="16.5" customHeight="1" x14ac:dyDescent="0.2">
      <c r="B6" s="11" t="s">
        <v>19</v>
      </c>
      <c r="C6" s="12">
        <f>C5*C4</f>
        <v>252000</v>
      </c>
    </row>
    <row r="7" spans="2:3" ht="15.75" customHeight="1" x14ac:dyDescent="0.2">
      <c r="B7" s="9" t="s">
        <v>20</v>
      </c>
      <c r="C7" s="10">
        <v>9642</v>
      </c>
    </row>
    <row r="8" spans="2:3" ht="15.75" customHeight="1" x14ac:dyDescent="0.2">
      <c r="B8" s="9" t="s">
        <v>21</v>
      </c>
      <c r="C8" s="10">
        <v>560</v>
      </c>
    </row>
    <row r="9" spans="2:3" ht="15.75" customHeight="1" x14ac:dyDescent="0.2">
      <c r="B9" s="9" t="s">
        <v>22</v>
      </c>
      <c r="C9" s="10">
        <v>14017</v>
      </c>
    </row>
    <row r="10" spans="2:3" ht="16.5" customHeight="1" x14ac:dyDescent="0.2">
      <c r="B10" s="11" t="s">
        <v>23</v>
      </c>
      <c r="C10" s="12">
        <f>C9+C8</f>
        <v>14577</v>
      </c>
    </row>
    <row r="11" spans="2:3" ht="16.5" customHeight="1" x14ac:dyDescent="0.2">
      <c r="B11" s="11" t="s">
        <v>24</v>
      </c>
      <c r="C11" s="12">
        <f>C10+C6-C7</f>
        <v>256935</v>
      </c>
    </row>
    <row r="12" spans="2:3" ht="15.75" customHeight="1" x14ac:dyDescent="0.2">
      <c r="B12" s="13" t="s">
        <v>25</v>
      </c>
      <c r="C12" s="14">
        <f>C11-C6</f>
        <v>4935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9D028-3048-4168-FD08-45341568418D}">
  <dimension ref="B1:J9"/>
  <sheetViews>
    <sheetView showGridLines="0" workbookViewId="0">
      <selection activeCell="F27" sqref="F27"/>
    </sheetView>
  </sheetViews>
  <sheetFormatPr baseColWidth="10" defaultColWidth="11.5" defaultRowHeight="15" customHeight="1" x14ac:dyDescent="0.2"/>
  <cols>
    <col min="1" max="1" width="22" customWidth="1"/>
    <col min="2" max="2" width="25.6640625" customWidth="1"/>
    <col min="3" max="10" width="12.1640625" customWidth="1"/>
  </cols>
  <sheetData>
    <row r="1" spans="2:10" ht="15.75" customHeight="1" x14ac:dyDescent="0.2"/>
    <row r="2" spans="2:10" ht="17.25" customHeight="1" x14ac:dyDescent="0.2">
      <c r="B2" s="8" t="s">
        <v>26</v>
      </c>
      <c r="C2" s="8"/>
      <c r="D2" s="8"/>
      <c r="E2" s="8"/>
      <c r="F2" s="8"/>
      <c r="G2" s="8"/>
      <c r="H2" s="8"/>
      <c r="I2" s="8"/>
      <c r="J2" s="8"/>
    </row>
    <row r="4" spans="2:10" ht="16.5" customHeight="1" x14ac:dyDescent="0.2">
      <c r="C4" s="15">
        <v>2018</v>
      </c>
      <c r="D4" s="15">
        <v>2019</v>
      </c>
      <c r="E4" s="15">
        <v>2020</v>
      </c>
      <c r="F4" s="15">
        <v>2021</v>
      </c>
      <c r="G4" s="15">
        <v>2022</v>
      </c>
      <c r="H4" s="15">
        <v>2023</v>
      </c>
      <c r="I4" s="15">
        <v>2024</v>
      </c>
      <c r="J4" s="15">
        <v>2025</v>
      </c>
    </row>
    <row r="5" spans="2:10" ht="15.75" customHeight="1" x14ac:dyDescent="0.2">
      <c r="B5" s="16" t="s">
        <v>27</v>
      </c>
      <c r="C5" s="17">
        <v>14135</v>
      </c>
      <c r="D5" s="17">
        <v>6313</v>
      </c>
      <c r="E5" s="17">
        <v>2687</v>
      </c>
      <c r="F5" s="17">
        <v>5861</v>
      </c>
      <c r="G5" s="17">
        <v>8687</v>
      </c>
      <c r="H5" s="17">
        <v>-5833</v>
      </c>
      <c r="I5" s="17">
        <v>778</v>
      </c>
      <c r="J5" s="17">
        <v>8539</v>
      </c>
    </row>
    <row r="6" spans="2:10" ht="15.75" customHeight="1" x14ac:dyDescent="0.2">
      <c r="B6" s="16" t="s">
        <v>28</v>
      </c>
      <c r="C6" s="17">
        <v>0</v>
      </c>
      <c r="D6" s="17">
        <v>0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7">
        <v>0</v>
      </c>
    </row>
    <row r="7" spans="2:10" ht="15.75" customHeight="1" x14ac:dyDescent="0.2">
      <c r="B7" s="16" t="s">
        <v>29</v>
      </c>
      <c r="C7" s="17">
        <v>1229</v>
      </c>
      <c r="D7" s="17">
        <v>1143</v>
      </c>
      <c r="E7" s="17">
        <v>1131</v>
      </c>
      <c r="F7" s="17">
        <v>1141</v>
      </c>
      <c r="G7" s="17">
        <v>1122</v>
      </c>
      <c r="H7" s="17">
        <v>1093</v>
      </c>
      <c r="I7" s="17">
        <v>1118</v>
      </c>
      <c r="J7" s="17">
        <v>1125</v>
      </c>
    </row>
    <row r="9" spans="2:10" ht="16.5" customHeight="1" x14ac:dyDescent="0.2">
      <c r="B9" s="18" t="s">
        <v>30</v>
      </c>
      <c r="C9" s="19">
        <f t="shared" ref="C9:J9" si="0">(C5-C6)/C7</f>
        <v>11.501220504475183</v>
      </c>
      <c r="D9" s="19">
        <f t="shared" si="0"/>
        <v>5.5231846019247595</v>
      </c>
      <c r="E9" s="19">
        <f t="shared" si="0"/>
        <v>2.3757736516357206</v>
      </c>
      <c r="F9" s="19">
        <f t="shared" si="0"/>
        <v>5.1367221735319895</v>
      </c>
      <c r="G9" s="19">
        <f t="shared" si="0"/>
        <v>7.7424242424242422</v>
      </c>
      <c r="H9" s="19">
        <f t="shared" si="0"/>
        <v>-5.3366880146386091</v>
      </c>
      <c r="I9" s="19">
        <f t="shared" si="0"/>
        <v>0.69588550983899822</v>
      </c>
      <c r="J9" s="19">
        <f t="shared" si="0"/>
        <v>7.5902222222222226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3E318-FB08-7EB8-9B98-C67A4C92CE08}">
  <dimension ref="B2:E22"/>
  <sheetViews>
    <sheetView showGridLines="0" workbookViewId="0">
      <selection activeCell="C8" sqref="C8"/>
    </sheetView>
  </sheetViews>
  <sheetFormatPr baseColWidth="10" defaultColWidth="11.5" defaultRowHeight="15" customHeight="1" x14ac:dyDescent="0.2"/>
  <cols>
    <col min="2" max="2" width="20" customWidth="1"/>
    <col min="3" max="3" width="14.33203125" customWidth="1"/>
    <col min="4" max="4" width="17.1640625" customWidth="1"/>
    <col min="5" max="5" width="14.33203125" customWidth="1"/>
  </cols>
  <sheetData>
    <row r="2" spans="2:5" ht="17.25" customHeight="1" x14ac:dyDescent="0.2">
      <c r="B2" s="8" t="s">
        <v>31</v>
      </c>
      <c r="C2" s="8"/>
      <c r="D2" s="8"/>
      <c r="E2" s="8"/>
    </row>
    <row r="4" spans="2:5" ht="16.5" customHeight="1" x14ac:dyDescent="0.2">
      <c r="B4" s="20" t="s">
        <v>32</v>
      </c>
    </row>
    <row r="5" spans="2:5" ht="15.75" customHeight="1" x14ac:dyDescent="0.2">
      <c r="B5" s="21" t="s">
        <v>19</v>
      </c>
      <c r="C5" s="22" cm="1">
        <f t="array" ref="C5">Snapshot!C6</f>
        <v>252000</v>
      </c>
    </row>
    <row r="6" spans="2:5" ht="15.75" customHeight="1" x14ac:dyDescent="0.2">
      <c r="B6" s="21" t="s">
        <v>24</v>
      </c>
      <c r="C6" s="22" cm="1">
        <f t="array" ref="C6">Snapshot!C11</f>
        <v>256935</v>
      </c>
    </row>
    <row r="7" spans="2:5" ht="15.75" customHeight="1" x14ac:dyDescent="0.2">
      <c r="B7" s="21" t="s">
        <v>18</v>
      </c>
      <c r="C7" s="22" cm="1">
        <f t="array" ref="C7">Snapshot!C5</f>
        <v>224</v>
      </c>
    </row>
    <row r="8" spans="2:5" ht="15.75" customHeight="1" x14ac:dyDescent="0.2">
      <c r="B8" s="21" t="s">
        <v>33</v>
      </c>
      <c r="C8" s="23" cm="1">
        <f t="array" ref="C8">EPS!J9</f>
        <v>7.5902222222222226</v>
      </c>
    </row>
    <row r="10" spans="2:5" ht="16.5" customHeight="1" x14ac:dyDescent="0.2">
      <c r="B10" s="20" t="s">
        <v>34</v>
      </c>
      <c r="C10" s="20"/>
    </row>
    <row r="11" spans="2:5" ht="15.75" customHeight="1" x14ac:dyDescent="0.2">
      <c r="B11" s="21" t="s">
        <v>35</v>
      </c>
      <c r="C11" s="24">
        <f>C7/C8</f>
        <v>29.511652418315961</v>
      </c>
    </row>
    <row r="12" spans="2:5" ht="15.75" customHeight="1" x14ac:dyDescent="0.2">
      <c r="B12" s="21" t="s">
        <v>36</v>
      </c>
      <c r="C12" s="24">
        <f>C6/E17</f>
        <v>13.901152410323</v>
      </c>
    </row>
    <row r="13" spans="2:5" ht="15.75" customHeight="1" x14ac:dyDescent="0.2">
      <c r="B13" s="21" t="s">
        <v>37</v>
      </c>
      <c r="C13" s="24">
        <f>C6/E18</f>
        <v>6.8739632939162076</v>
      </c>
    </row>
    <row r="14" spans="2:5" ht="15.75" customHeight="1" x14ac:dyDescent="0.2">
      <c r="B14" s="21" t="s">
        <v>38</v>
      </c>
      <c r="C14" s="24">
        <f>C5/E19</f>
        <v>151.07913669064749</v>
      </c>
    </row>
    <row r="15" spans="2:5" ht="15.75" customHeight="1" x14ac:dyDescent="0.2">
      <c r="B15" s="21" t="s">
        <v>39</v>
      </c>
      <c r="C15" s="24">
        <f>C5/E20</f>
        <v>4.6524508446413737</v>
      </c>
    </row>
    <row r="16" spans="2:5" ht="16.5" customHeight="1" x14ac:dyDescent="0.2">
      <c r="D16" s="20" t="s">
        <v>40</v>
      </c>
      <c r="E16" s="20"/>
    </row>
    <row r="17" spans="2:5" ht="16.5" customHeight="1" x14ac:dyDescent="0.2">
      <c r="B17" s="20" t="s">
        <v>41</v>
      </c>
      <c r="D17" s="21" t="s">
        <v>42</v>
      </c>
      <c r="E17" s="17">
        <v>18483</v>
      </c>
    </row>
    <row r="18" spans="2:5" ht="15.75" customHeight="1" x14ac:dyDescent="0.2">
      <c r="B18" s="21" t="s">
        <v>43</v>
      </c>
      <c r="C18" s="23">
        <f>E20/Snapshot!C4</f>
        <v>48.146666666666668</v>
      </c>
      <c r="D18" s="21" t="s">
        <v>44</v>
      </c>
      <c r="E18" s="22" cm="1">
        <f t="array" ref="E18">Revenue!J9</f>
        <v>37378</v>
      </c>
    </row>
    <row r="19" spans="2:5" ht="15.75" customHeight="1" x14ac:dyDescent="0.2">
      <c r="B19" s="21" t="s">
        <v>45</v>
      </c>
      <c r="C19" s="25">
        <f>Snapshot!C10/E20</f>
        <v>0.26912212683467185</v>
      </c>
      <c r="D19" s="21" t="s">
        <v>46</v>
      </c>
      <c r="E19" s="17">
        <v>1668</v>
      </c>
    </row>
    <row r="20" spans="2:5" ht="15.75" customHeight="1" x14ac:dyDescent="0.2">
      <c r="D20" s="21" t="s">
        <v>47</v>
      </c>
      <c r="E20" s="26">
        <f>E21-E22</f>
        <v>54165</v>
      </c>
    </row>
    <row r="21" spans="2:5" ht="15.75" customHeight="1" x14ac:dyDescent="0.2">
      <c r="D21" s="21" t="s">
        <v>48</v>
      </c>
      <c r="E21" s="17">
        <v>82798</v>
      </c>
    </row>
    <row r="22" spans="2:5" ht="15.75" customHeight="1" x14ac:dyDescent="0.2">
      <c r="D22" s="21" t="s">
        <v>49</v>
      </c>
      <c r="E22" s="17">
        <v>28633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78C48-2C98-F8DE-A208-0C7C25D7768B}">
  <dimension ref="B1:J9"/>
  <sheetViews>
    <sheetView showGridLines="0" workbookViewId="0">
      <selection activeCell="D20" sqref="D20"/>
    </sheetView>
  </sheetViews>
  <sheetFormatPr baseColWidth="10" defaultColWidth="11.5" defaultRowHeight="15" customHeight="1" x14ac:dyDescent="0.2"/>
  <cols>
    <col min="2" max="2" width="20" customWidth="1"/>
    <col min="3" max="10" width="12.83203125" customWidth="1"/>
  </cols>
  <sheetData>
    <row r="1" spans="2:10" ht="15.75" customHeight="1" x14ac:dyDescent="0.2"/>
    <row r="2" spans="2:10" ht="17.25" customHeight="1" x14ac:dyDescent="0.2">
      <c r="B2" s="8" t="s">
        <v>50</v>
      </c>
      <c r="C2" s="8"/>
      <c r="D2" s="8"/>
      <c r="E2" s="8"/>
      <c r="F2" s="8"/>
      <c r="G2" s="8"/>
      <c r="H2" s="8"/>
      <c r="I2" s="8"/>
      <c r="J2" s="8"/>
    </row>
    <row r="4" spans="2:10" ht="16.5" customHeight="1" x14ac:dyDescent="0.2">
      <c r="C4" s="15">
        <v>2018</v>
      </c>
      <c r="D4" s="15">
        <v>2019</v>
      </c>
      <c r="E4" s="15">
        <v>2020</v>
      </c>
      <c r="F4" s="15">
        <v>2021</v>
      </c>
      <c r="G4" s="15">
        <v>2022</v>
      </c>
      <c r="H4" s="15">
        <v>2023</v>
      </c>
      <c r="I4" s="15">
        <v>2024</v>
      </c>
      <c r="J4" s="15">
        <v>2025</v>
      </c>
    </row>
    <row r="5" spans="2:10" ht="15.75" customHeight="1" x14ac:dyDescent="0.2">
      <c r="B5" s="16" t="s">
        <v>51</v>
      </c>
      <c r="C5" s="17">
        <v>21232</v>
      </c>
      <c r="D5" s="17">
        <v>15247</v>
      </c>
      <c r="E5" s="17">
        <v>14510</v>
      </c>
      <c r="F5" s="17">
        <v>20039</v>
      </c>
      <c r="G5" s="17">
        <v>22386</v>
      </c>
      <c r="H5" s="17">
        <v>10978</v>
      </c>
      <c r="I5" s="17">
        <v>17603</v>
      </c>
      <c r="J5" s="17">
        <v>28578</v>
      </c>
    </row>
    <row r="6" spans="2:10" ht="15.75" customHeight="1" x14ac:dyDescent="0.2">
      <c r="B6" s="16" t="s">
        <v>52</v>
      </c>
      <c r="C6" s="17">
        <v>7987</v>
      </c>
      <c r="D6" s="17">
        <v>6946</v>
      </c>
      <c r="E6" s="17">
        <v>6131</v>
      </c>
      <c r="F6" s="17">
        <v>7007</v>
      </c>
      <c r="G6" s="17">
        <v>7811</v>
      </c>
      <c r="H6" s="17">
        <v>4206</v>
      </c>
      <c r="I6" s="17">
        <v>7227</v>
      </c>
      <c r="J6" s="17">
        <v>8503</v>
      </c>
    </row>
    <row r="7" spans="2:10" ht="15.75" customHeight="1" x14ac:dyDescent="0.2">
      <c r="B7" s="16" t="s">
        <v>53</v>
      </c>
      <c r="C7" s="17">
        <v>1262</v>
      </c>
      <c r="D7" s="17">
        <v>1213</v>
      </c>
      <c r="E7" s="17">
        <v>794</v>
      </c>
      <c r="F7" s="17">
        <v>659</v>
      </c>
      <c r="G7" s="17">
        <v>561</v>
      </c>
      <c r="H7" s="17">
        <v>356</v>
      </c>
      <c r="I7" s="17">
        <v>281</v>
      </c>
      <c r="J7" s="17">
        <v>297</v>
      </c>
    </row>
    <row r="9" spans="2:10" ht="16.5" customHeight="1" x14ac:dyDescent="0.2">
      <c r="B9" s="18" t="s">
        <v>54</v>
      </c>
      <c r="C9" s="27">
        <f t="shared" ref="C9:J9" si="0">SUM(C5:C7)</f>
        <v>30481</v>
      </c>
      <c r="D9" s="27">
        <f t="shared" si="0"/>
        <v>23406</v>
      </c>
      <c r="E9" s="27">
        <f t="shared" si="0"/>
        <v>21435</v>
      </c>
      <c r="F9" s="27">
        <f t="shared" si="0"/>
        <v>27705</v>
      </c>
      <c r="G9" s="27">
        <f t="shared" si="0"/>
        <v>30758</v>
      </c>
      <c r="H9" s="27">
        <f t="shared" si="0"/>
        <v>15540</v>
      </c>
      <c r="I9" s="27">
        <f t="shared" si="0"/>
        <v>25111</v>
      </c>
      <c r="J9" s="27">
        <f t="shared" si="0"/>
        <v>37378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24768-9FC6-A0C8-F71E-45F6A7647A28}">
  <dimension ref="A1:AC56"/>
  <sheetViews>
    <sheetView showGridLines="0" topLeftCell="C1" zoomScale="99" zoomScaleNormal="100" workbookViewId="0">
      <selection activeCell="R7" sqref="Q7:R24"/>
    </sheetView>
  </sheetViews>
  <sheetFormatPr baseColWidth="10" defaultColWidth="11.5" defaultRowHeight="15" customHeight="1" x14ac:dyDescent="0.2"/>
  <cols>
    <col min="1" max="1" width="27.33203125" customWidth="1"/>
    <col min="2" max="9" width="13.5" customWidth="1"/>
    <col min="10" max="10" width="13.83203125" customWidth="1"/>
    <col min="11" max="12" width="13.5" customWidth="1"/>
    <col min="13" max="15" width="14.5" customWidth="1"/>
    <col min="17" max="18" width="11.5" customWidth="1"/>
  </cols>
  <sheetData>
    <row r="1" spans="1:29" ht="18.75" customHeight="1" x14ac:dyDescent="0.2">
      <c r="B1" s="8" t="s">
        <v>55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29" ht="18.75" customHeight="1" x14ac:dyDescent="0.2">
      <c r="A2" s="28"/>
      <c r="B2" s="29" t="s">
        <v>56</v>
      </c>
      <c r="C2" s="30" t="s">
        <v>57</v>
      </c>
      <c r="D2" s="30" t="s">
        <v>58</v>
      </c>
      <c r="E2" s="30" t="s">
        <v>59</v>
      </c>
      <c r="F2" s="30" t="s">
        <v>60</v>
      </c>
      <c r="G2" s="30" t="s">
        <v>61</v>
      </c>
      <c r="H2" s="30" t="s">
        <v>62</v>
      </c>
      <c r="I2" s="30" t="s">
        <v>63</v>
      </c>
      <c r="J2" s="31" t="s">
        <v>64</v>
      </c>
      <c r="K2" s="31" t="s">
        <v>65</v>
      </c>
      <c r="L2" s="31" t="s">
        <v>66</v>
      </c>
      <c r="M2" s="31" t="s">
        <v>67</v>
      </c>
      <c r="N2" s="31" t="s">
        <v>68</v>
      </c>
      <c r="O2" s="31" t="s">
        <v>69</v>
      </c>
    </row>
    <row r="3" spans="1:29" ht="15.75" customHeight="1" x14ac:dyDescent="0.2">
      <c r="A3" s="32" t="s">
        <v>51</v>
      </c>
      <c r="B3" s="33">
        <v>21232</v>
      </c>
      <c r="C3" s="33">
        <v>15247</v>
      </c>
      <c r="D3" s="33">
        <v>14510</v>
      </c>
      <c r="E3" s="33">
        <v>20039</v>
      </c>
      <c r="F3" s="33">
        <v>22386</v>
      </c>
      <c r="G3" s="33">
        <v>10978</v>
      </c>
      <c r="H3" s="33">
        <v>17603</v>
      </c>
      <c r="I3" s="33">
        <v>28578</v>
      </c>
      <c r="J3" s="34">
        <f t="shared" ref="J3:O3" si="0">I3*(1+J34)*(1+J35)</f>
        <v>42724.11</v>
      </c>
      <c r="K3" s="34">
        <f t="shared" si="0"/>
        <v>58745.651250000003</v>
      </c>
      <c r="L3" s="34">
        <f t="shared" si="0"/>
        <v>77403.270086999997</v>
      </c>
      <c r="M3" s="34">
        <f t="shared" si="0"/>
        <v>96816.010224819591</v>
      </c>
      <c r="N3" s="34">
        <f t="shared" si="0"/>
        <v>113681.35920598319</v>
      </c>
      <c r="O3" s="34">
        <f t="shared" si="0"/>
        <v>132416.04720312922</v>
      </c>
    </row>
    <row r="4" spans="1:29" ht="15.75" customHeight="1" x14ac:dyDescent="0.2">
      <c r="A4" s="32" t="s">
        <v>52</v>
      </c>
      <c r="B4" s="33">
        <v>7987</v>
      </c>
      <c r="C4" s="33">
        <v>6946</v>
      </c>
      <c r="D4" s="33">
        <v>6131</v>
      </c>
      <c r="E4" s="33">
        <v>7007</v>
      </c>
      <c r="F4" s="33">
        <v>7811</v>
      </c>
      <c r="G4" s="33">
        <v>4206</v>
      </c>
      <c r="H4" s="33">
        <v>7227</v>
      </c>
      <c r="I4" s="33">
        <v>8503</v>
      </c>
      <c r="J4" s="34">
        <f t="shared" ref="J4:O4" si="1">I4*(1+J37)*(1+J38)</f>
        <v>12116.775000000001</v>
      </c>
      <c r="K4" s="34">
        <f t="shared" si="1"/>
        <v>16260.712050000004</v>
      </c>
      <c r="L4" s="34">
        <f t="shared" si="1"/>
        <v>20878.754272200003</v>
      </c>
      <c r="M4" s="34">
        <f t="shared" si="1"/>
        <v>25868.776543255804</v>
      </c>
      <c r="N4" s="34">
        <f t="shared" si="1"/>
        <v>30908.014213882034</v>
      </c>
      <c r="O4" s="34">
        <f t="shared" si="1"/>
        <v>35939.838927902034</v>
      </c>
    </row>
    <row r="5" spans="1:29" ht="15.75" customHeight="1" x14ac:dyDescent="0.2">
      <c r="A5" s="32" t="s">
        <v>53</v>
      </c>
      <c r="B5" s="33">
        <v>1262</v>
      </c>
      <c r="C5" s="33">
        <v>1213</v>
      </c>
      <c r="D5" s="33">
        <v>794</v>
      </c>
      <c r="E5" s="33">
        <v>659</v>
      </c>
      <c r="F5" s="33">
        <v>561</v>
      </c>
      <c r="G5" s="33">
        <v>356</v>
      </c>
      <c r="H5" s="33">
        <v>281</v>
      </c>
      <c r="I5" s="33">
        <v>297</v>
      </c>
      <c r="J5" s="34">
        <f t="shared" ref="J5:M5" si="2">I5*1.15</f>
        <v>341.54999999999995</v>
      </c>
      <c r="K5" s="34">
        <f t="shared" si="2"/>
        <v>392.78249999999991</v>
      </c>
      <c r="L5" s="34">
        <f t="shared" si="2"/>
        <v>451.69987499999985</v>
      </c>
      <c r="M5" s="34">
        <f t="shared" si="2"/>
        <v>519.45485624999981</v>
      </c>
      <c r="N5" s="34">
        <f>M5*1.1</f>
        <v>571.40034187499987</v>
      </c>
      <c r="O5" s="34">
        <f>N5*1.05</f>
        <v>599.97035896874991</v>
      </c>
    </row>
    <row r="6" spans="1:29" ht="15.75" customHeight="1" x14ac:dyDescent="0.2">
      <c r="A6" s="35" t="s">
        <v>70</v>
      </c>
      <c r="B6" s="36">
        <f t="shared" ref="B6:O6" si="3">SUM(B3:B5)</f>
        <v>30481</v>
      </c>
      <c r="C6" s="36">
        <f t="shared" si="3"/>
        <v>23406</v>
      </c>
      <c r="D6" s="36">
        <f t="shared" si="3"/>
        <v>21435</v>
      </c>
      <c r="E6" s="36">
        <f t="shared" si="3"/>
        <v>27705</v>
      </c>
      <c r="F6" s="36">
        <f t="shared" si="3"/>
        <v>30758</v>
      </c>
      <c r="G6" s="36">
        <f t="shared" si="3"/>
        <v>15540</v>
      </c>
      <c r="H6" s="36">
        <f t="shared" si="3"/>
        <v>25111</v>
      </c>
      <c r="I6" s="36">
        <f t="shared" si="3"/>
        <v>37378</v>
      </c>
      <c r="J6" s="36">
        <f t="shared" si="3"/>
        <v>55182.435000000005</v>
      </c>
      <c r="K6" s="36">
        <f t="shared" si="3"/>
        <v>75399.145800000013</v>
      </c>
      <c r="L6" s="36">
        <f t="shared" si="3"/>
        <v>98733.72423420001</v>
      </c>
      <c r="M6" s="36">
        <f t="shared" si="3"/>
        <v>123204.2416243254</v>
      </c>
      <c r="N6" s="36">
        <f t="shared" si="3"/>
        <v>145160.77376174022</v>
      </c>
      <c r="O6" s="36">
        <f t="shared" si="3"/>
        <v>168955.85649000001</v>
      </c>
      <c r="Q6" s="76"/>
      <c r="R6" s="76"/>
    </row>
    <row r="7" spans="1:29" ht="15" customHeight="1" x14ac:dyDescent="0.2">
      <c r="A7" s="32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</row>
    <row r="8" spans="1:29" ht="15.75" customHeight="1" x14ac:dyDescent="0.2">
      <c r="A8" s="32" t="s">
        <v>71</v>
      </c>
      <c r="B8" s="33">
        <v>12500</v>
      </c>
      <c r="C8" s="33">
        <v>12704</v>
      </c>
      <c r="D8" s="33">
        <v>14883</v>
      </c>
      <c r="E8" s="33">
        <v>17282</v>
      </c>
      <c r="F8" s="33">
        <v>16860</v>
      </c>
      <c r="G8" s="33">
        <v>16956</v>
      </c>
      <c r="H8" s="33">
        <v>19498</v>
      </c>
      <c r="I8" s="33">
        <v>22505</v>
      </c>
      <c r="J8" s="34">
        <f>J6*0.55</f>
        <v>30350.339250000005</v>
      </c>
      <c r="K8" s="34">
        <f>K6*0.53</f>
        <v>39961.547274000011</v>
      </c>
      <c r="L8" s="34">
        <f>L6*0.52</f>
        <v>51341.536601784006</v>
      </c>
      <c r="M8" s="34">
        <f>M6*0.54</f>
        <v>66530.290477135713</v>
      </c>
      <c r="N8" s="34">
        <f>N6*0.56</f>
        <v>81290.033306574522</v>
      </c>
      <c r="O8" s="34">
        <f>O6*0.57</f>
        <v>96304.838199299993</v>
      </c>
    </row>
    <row r="9" spans="1:29" ht="15.75" customHeight="1" x14ac:dyDescent="0.2">
      <c r="A9" s="35" t="s">
        <v>72</v>
      </c>
      <c r="B9" s="36">
        <f t="shared" ref="B9:O9" si="4">B6-B8</f>
        <v>17981</v>
      </c>
      <c r="C9" s="36">
        <f t="shared" si="4"/>
        <v>10702</v>
      </c>
      <c r="D9" s="36">
        <f t="shared" si="4"/>
        <v>6552</v>
      </c>
      <c r="E9" s="36">
        <f t="shared" si="4"/>
        <v>10423</v>
      </c>
      <c r="F9" s="36">
        <f t="shared" si="4"/>
        <v>13898</v>
      </c>
      <c r="G9" s="36">
        <f t="shared" si="4"/>
        <v>-1416</v>
      </c>
      <c r="H9" s="36">
        <f t="shared" si="4"/>
        <v>5613</v>
      </c>
      <c r="I9" s="36">
        <f t="shared" si="4"/>
        <v>14873</v>
      </c>
      <c r="J9" s="36">
        <f t="shared" si="4"/>
        <v>24832.09575</v>
      </c>
      <c r="K9" s="36">
        <f t="shared" si="4"/>
        <v>35437.598526000002</v>
      </c>
      <c r="L9" s="36">
        <f t="shared" si="4"/>
        <v>47392.187632416004</v>
      </c>
      <c r="M9" s="36">
        <f t="shared" si="4"/>
        <v>56673.951147189684</v>
      </c>
      <c r="N9" s="36">
        <f t="shared" si="4"/>
        <v>63870.740455165695</v>
      </c>
      <c r="O9" s="36">
        <f t="shared" si="4"/>
        <v>72651.018290700013</v>
      </c>
      <c r="S9" s="38"/>
      <c r="T9" s="38"/>
      <c r="U9" s="38"/>
      <c r="V9" s="38"/>
      <c r="W9" s="38"/>
      <c r="X9" s="39"/>
      <c r="Y9" s="39"/>
      <c r="Z9" s="39"/>
      <c r="AA9" s="39"/>
      <c r="AB9" s="39"/>
      <c r="AC9" s="39"/>
    </row>
    <row r="10" spans="1:29" ht="15.75" customHeight="1" x14ac:dyDescent="0.2">
      <c r="A10" s="32" t="s">
        <v>73</v>
      </c>
      <c r="B10" s="33">
        <v>2141</v>
      </c>
      <c r="C10" s="33">
        <v>2441</v>
      </c>
      <c r="D10" s="33">
        <v>2600</v>
      </c>
      <c r="E10" s="33">
        <v>2663</v>
      </c>
      <c r="F10" s="33">
        <v>3116</v>
      </c>
      <c r="G10" s="33">
        <v>3114</v>
      </c>
      <c r="H10" s="33">
        <v>3430</v>
      </c>
      <c r="I10" s="33">
        <v>3798</v>
      </c>
      <c r="J10" s="34">
        <f>J6*0.15</f>
        <v>8277.3652500000007</v>
      </c>
      <c r="K10" s="34">
        <f t="shared" ref="K10:L10" si="5">K6*0.135</f>
        <v>10178.884683000002</v>
      </c>
      <c r="L10" s="34">
        <f t="shared" si="5"/>
        <v>13329.052771617002</v>
      </c>
      <c r="M10" s="34">
        <f t="shared" ref="M10:O10" si="6">0.1*M6</f>
        <v>12320.42416243254</v>
      </c>
      <c r="N10" s="34">
        <f t="shared" si="6"/>
        <v>14516.077376174022</v>
      </c>
      <c r="O10" s="34">
        <f t="shared" si="6"/>
        <v>16895.585649000001</v>
      </c>
    </row>
    <row r="11" spans="1:29" ht="15.75" customHeight="1" x14ac:dyDescent="0.2">
      <c r="A11" s="32" t="s">
        <v>74</v>
      </c>
      <c r="B11" s="33">
        <v>813</v>
      </c>
      <c r="C11" s="33">
        <v>836</v>
      </c>
      <c r="D11" s="33">
        <v>881</v>
      </c>
      <c r="E11" s="33">
        <v>894</v>
      </c>
      <c r="F11" s="33">
        <v>1066</v>
      </c>
      <c r="G11" s="33">
        <v>920</v>
      </c>
      <c r="H11" s="33">
        <v>1129</v>
      </c>
      <c r="I11" s="33">
        <v>1205</v>
      </c>
      <c r="J11" s="34">
        <f t="shared" ref="J11:L11" si="7">0.03*J6</f>
        <v>1655.4730500000001</v>
      </c>
      <c r="K11" s="34">
        <f t="shared" si="7"/>
        <v>2261.9743740000004</v>
      </c>
      <c r="L11" s="34">
        <f t="shared" si="7"/>
        <v>2962.0117270260002</v>
      </c>
      <c r="M11" s="34">
        <f t="shared" ref="M11:O11" si="8">0.025*M6</f>
        <v>3080.1060406081351</v>
      </c>
      <c r="N11" s="34">
        <f t="shared" si="8"/>
        <v>3629.0193440435055</v>
      </c>
      <c r="O11" s="34">
        <f t="shared" si="8"/>
        <v>4223.8964122500001</v>
      </c>
    </row>
    <row r="12" spans="1:29" ht="15" customHeight="1" x14ac:dyDescent="0.2">
      <c r="A12" s="32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29" ht="15.75" customHeight="1" x14ac:dyDescent="0.2">
      <c r="A13" s="32" t="s">
        <v>75</v>
      </c>
      <c r="B13" s="34">
        <f t="shared" ref="B13:O13" si="9">SUM(B10:B11)</f>
        <v>2954</v>
      </c>
      <c r="C13" s="34">
        <f t="shared" si="9"/>
        <v>3277</v>
      </c>
      <c r="D13" s="34">
        <f t="shared" si="9"/>
        <v>3481</v>
      </c>
      <c r="E13" s="34">
        <f t="shared" si="9"/>
        <v>3557</v>
      </c>
      <c r="F13" s="34">
        <f t="shared" si="9"/>
        <v>4182</v>
      </c>
      <c r="G13" s="34">
        <f t="shared" si="9"/>
        <v>4034</v>
      </c>
      <c r="H13" s="34">
        <f t="shared" si="9"/>
        <v>4559</v>
      </c>
      <c r="I13" s="34">
        <f t="shared" si="9"/>
        <v>5003</v>
      </c>
      <c r="J13" s="34">
        <f t="shared" si="9"/>
        <v>9932.8383000000013</v>
      </c>
      <c r="K13" s="34">
        <f t="shared" si="9"/>
        <v>12440.859057000001</v>
      </c>
      <c r="L13" s="34">
        <f t="shared" si="9"/>
        <v>16291.064498643002</v>
      </c>
      <c r="M13" s="34">
        <f t="shared" si="9"/>
        <v>15400.530203040675</v>
      </c>
      <c r="N13" s="34">
        <f t="shared" si="9"/>
        <v>18145.096720217527</v>
      </c>
      <c r="O13" s="34">
        <f t="shared" si="9"/>
        <v>21119.482061250001</v>
      </c>
    </row>
    <row r="14" spans="1:29" ht="15.75" customHeight="1" x14ac:dyDescent="0.2">
      <c r="A14" s="32" t="s">
        <v>76</v>
      </c>
      <c r="B14" s="34">
        <f t="shared" ref="B14:O14" si="10">B9-B13</f>
        <v>15027</v>
      </c>
      <c r="C14" s="34">
        <f t="shared" si="10"/>
        <v>7425</v>
      </c>
      <c r="D14" s="34">
        <f t="shared" si="10"/>
        <v>3071</v>
      </c>
      <c r="E14" s="34">
        <f t="shared" si="10"/>
        <v>6866</v>
      </c>
      <c r="F14" s="34">
        <f t="shared" si="10"/>
        <v>9716</v>
      </c>
      <c r="G14" s="34">
        <f t="shared" si="10"/>
        <v>-5450</v>
      </c>
      <c r="H14" s="34">
        <f t="shared" si="10"/>
        <v>1054</v>
      </c>
      <c r="I14" s="34">
        <f t="shared" si="10"/>
        <v>9870</v>
      </c>
      <c r="J14" s="34">
        <f t="shared" si="10"/>
        <v>14899.257449999999</v>
      </c>
      <c r="K14" s="34">
        <f t="shared" si="10"/>
        <v>22996.739469</v>
      </c>
      <c r="L14" s="34">
        <f t="shared" si="10"/>
        <v>31101.123133773002</v>
      </c>
      <c r="M14" s="34">
        <f t="shared" si="10"/>
        <v>41273.420944149009</v>
      </c>
      <c r="N14" s="34">
        <f t="shared" si="10"/>
        <v>45725.643734948171</v>
      </c>
      <c r="O14" s="34">
        <f t="shared" si="10"/>
        <v>51531.536229450008</v>
      </c>
    </row>
    <row r="15" spans="1:29" ht="15.75" customHeight="1" x14ac:dyDescent="0.2">
      <c r="A15" s="35" t="s">
        <v>27</v>
      </c>
      <c r="B15" s="36">
        <f t="shared" ref="B15:O15" si="11">(B14-B19)*(1-B18)</f>
        <v>15066.012000000001</v>
      </c>
      <c r="C15" s="36">
        <f t="shared" si="11"/>
        <v>6627.8959999999997</v>
      </c>
      <c r="D15" s="36">
        <f t="shared" si="11"/>
        <v>2854.806</v>
      </c>
      <c r="E15" s="36">
        <f t="shared" si="11"/>
        <v>6570.2440000000006</v>
      </c>
      <c r="F15" s="36">
        <f t="shared" si="11"/>
        <v>8896.7630000000008</v>
      </c>
      <c r="G15" s="36">
        <f t="shared" si="11"/>
        <v>-5701.4299999999994</v>
      </c>
      <c r="H15" s="36">
        <f t="shared" si="11"/>
        <v>691.33199999999999</v>
      </c>
      <c r="I15" s="36">
        <f t="shared" si="11"/>
        <v>8708.2839999999997</v>
      </c>
      <c r="J15" s="36">
        <f t="shared" si="11"/>
        <v>12448.176258</v>
      </c>
      <c r="K15" s="36">
        <f t="shared" si="11"/>
        <v>19233.26115396</v>
      </c>
      <c r="L15" s="36">
        <f t="shared" si="11"/>
        <v>26082.94343236932</v>
      </c>
      <c r="M15" s="36">
        <f t="shared" si="11"/>
        <v>33831.905174202191</v>
      </c>
      <c r="N15" s="36">
        <f t="shared" si="11"/>
        <v>36107.458550609059</v>
      </c>
      <c r="O15" s="36">
        <f t="shared" si="11"/>
        <v>40194.598258971011</v>
      </c>
    </row>
    <row r="16" spans="1:29" ht="15" customHeight="1" x14ac:dyDescent="0.2">
      <c r="A16" s="32"/>
    </row>
    <row r="17" spans="1:15" ht="15" customHeight="1" x14ac:dyDescent="0.2">
      <c r="A17" s="32"/>
    </row>
    <row r="18" spans="1:15" ht="15.75" customHeight="1" x14ac:dyDescent="0.2">
      <c r="A18" s="32" t="s">
        <v>77</v>
      </c>
      <c r="B18" s="41">
        <v>1.2E-2</v>
      </c>
      <c r="C18" s="41">
        <v>9.8000000000000004E-2</v>
      </c>
      <c r="D18" s="41">
        <v>9.4E-2</v>
      </c>
      <c r="E18" s="41">
        <v>6.3E-2</v>
      </c>
      <c r="F18" s="41">
        <v>9.2999999999999999E-2</v>
      </c>
      <c r="G18" s="41">
        <v>-3.1E-2</v>
      </c>
      <c r="H18" s="41">
        <v>0.36399999999999999</v>
      </c>
      <c r="I18" s="41">
        <v>0.11600000000000001</v>
      </c>
      <c r="J18" s="41">
        <v>0.16</v>
      </c>
      <c r="K18" s="41">
        <v>0.16</v>
      </c>
      <c r="L18" s="41">
        <v>0.16</v>
      </c>
      <c r="M18" s="41">
        <v>0.18</v>
      </c>
      <c r="N18" s="41">
        <v>0.21</v>
      </c>
      <c r="O18" s="41">
        <v>0.22</v>
      </c>
    </row>
    <row r="19" spans="1:15" ht="15.75" customHeight="1" x14ac:dyDescent="0.2">
      <c r="A19" s="32" t="s">
        <v>78</v>
      </c>
      <c r="B19" s="33">
        <v>-222</v>
      </c>
      <c r="C19" s="33">
        <v>77</v>
      </c>
      <c r="D19" s="33">
        <v>-80</v>
      </c>
      <c r="E19" s="33">
        <v>-146</v>
      </c>
      <c r="F19" s="33">
        <v>-93</v>
      </c>
      <c r="G19" s="33">
        <v>80</v>
      </c>
      <c r="H19" s="33">
        <v>-33</v>
      </c>
      <c r="I19" s="33">
        <v>19</v>
      </c>
      <c r="J19" s="33">
        <v>80</v>
      </c>
      <c r="K19" s="33">
        <v>100</v>
      </c>
      <c r="L19" s="33">
        <v>50</v>
      </c>
      <c r="M19" s="33">
        <v>15</v>
      </c>
      <c r="N19" s="33">
        <v>20</v>
      </c>
      <c r="O19" s="33">
        <v>0</v>
      </c>
    </row>
    <row r="20" spans="1:15" ht="15.75" customHeight="1" x14ac:dyDescent="0.2">
      <c r="A20" s="32" t="s">
        <v>79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10000</v>
      </c>
      <c r="K20" s="33">
        <v>15000</v>
      </c>
      <c r="L20" s="33">
        <v>12000</v>
      </c>
      <c r="M20" s="33">
        <v>11000</v>
      </c>
      <c r="N20" s="33">
        <v>12000</v>
      </c>
      <c r="O20" s="33">
        <v>13000</v>
      </c>
    </row>
    <row r="21" spans="1:15" ht="15.75" customHeight="1" x14ac:dyDescent="0.2">
      <c r="A21" s="32" t="s">
        <v>80</v>
      </c>
      <c r="B21" s="33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542</v>
      </c>
      <c r="M21" s="33">
        <v>1684</v>
      </c>
      <c r="N21" s="33">
        <v>1955</v>
      </c>
      <c r="O21" s="33">
        <v>7400</v>
      </c>
    </row>
    <row r="22" spans="1:15" ht="15" customHeight="1" x14ac:dyDescent="0.2">
      <c r="A22" s="32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</row>
    <row r="23" spans="1:15" ht="15.75" customHeight="1" x14ac:dyDescent="0.2">
      <c r="A23" s="32" t="s">
        <v>81</v>
      </c>
      <c r="B23" s="33">
        <v>4759</v>
      </c>
      <c r="C23" s="33">
        <v>5424</v>
      </c>
      <c r="D23" s="33">
        <v>5650</v>
      </c>
      <c r="E23" s="33">
        <v>6214</v>
      </c>
      <c r="F23" s="33">
        <v>7116</v>
      </c>
      <c r="G23" s="33">
        <v>7756</v>
      </c>
      <c r="H23" s="33">
        <v>7780</v>
      </c>
      <c r="I23" s="33">
        <v>8352</v>
      </c>
      <c r="J23" s="34">
        <f t="shared" ref="J23:O23" si="12">0.8*J24</f>
        <v>12360.865440000003</v>
      </c>
      <c r="K23" s="34">
        <f t="shared" si="12"/>
        <v>15683.022326400003</v>
      </c>
      <c r="L23" s="34">
        <f t="shared" si="12"/>
        <v>18956.875052966403</v>
      </c>
      <c r="M23" s="34">
        <f t="shared" si="12"/>
        <v>21683.946525881271</v>
      </c>
      <c r="N23" s="34">
        <f t="shared" si="12"/>
        <v>23225.723801878437</v>
      </c>
      <c r="O23" s="34">
        <f t="shared" si="12"/>
        <v>24329.643334560002</v>
      </c>
    </row>
    <row r="24" spans="1:15" ht="15.75" customHeight="1" x14ac:dyDescent="0.2">
      <c r="A24" s="32" t="s">
        <v>82</v>
      </c>
      <c r="B24" s="33">
        <v>8879</v>
      </c>
      <c r="C24" s="33">
        <v>9780</v>
      </c>
      <c r="D24" s="33">
        <v>8223</v>
      </c>
      <c r="E24" s="33">
        <v>10030</v>
      </c>
      <c r="F24" s="33">
        <v>12067</v>
      </c>
      <c r="G24" s="33">
        <v>7676</v>
      </c>
      <c r="H24" s="33">
        <v>8386</v>
      </c>
      <c r="I24" s="33">
        <v>15857</v>
      </c>
      <c r="J24" s="33">
        <f>J6*0.28</f>
        <v>15451.081800000004</v>
      </c>
      <c r="K24" s="33">
        <f>K6*0.26</f>
        <v>19603.777908000004</v>
      </c>
      <c r="L24" s="33">
        <f>L6*0.24</f>
        <v>23696.093816208002</v>
      </c>
      <c r="M24" s="33">
        <f>M6*0.22</f>
        <v>27104.933157351588</v>
      </c>
      <c r="N24" s="33">
        <f>N6*0.2</f>
        <v>29032.154752348044</v>
      </c>
      <c r="O24" s="33">
        <f>O6*0.18</f>
        <v>30412.0541682</v>
      </c>
    </row>
    <row r="25" spans="1:15" ht="15" customHeight="1" x14ac:dyDescent="0.2">
      <c r="A25" s="32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</row>
    <row r="26" spans="1:15" ht="15.75" customHeight="1" x14ac:dyDescent="0.2">
      <c r="A26" s="32" t="s">
        <v>83</v>
      </c>
      <c r="B26" s="33">
        <v>-1734</v>
      </c>
      <c r="C26" s="33">
        <v>2431</v>
      </c>
      <c r="D26" s="33">
        <v>-723</v>
      </c>
      <c r="E26" s="33">
        <v>-1446</v>
      </c>
      <c r="F26" s="33">
        <v>190</v>
      </c>
      <c r="G26" s="33">
        <v>2763</v>
      </c>
      <c r="H26" s="33">
        <v>-3581</v>
      </c>
      <c r="I26" s="33">
        <v>-1776</v>
      </c>
      <c r="J26" s="33">
        <v>250</v>
      </c>
      <c r="K26" s="33">
        <v>250</v>
      </c>
      <c r="L26" s="33">
        <v>250</v>
      </c>
      <c r="M26" s="33">
        <v>250</v>
      </c>
      <c r="N26" s="33">
        <v>250</v>
      </c>
      <c r="O26" s="33">
        <v>250</v>
      </c>
    </row>
    <row r="27" spans="1:15" ht="15.75" customHeight="1" x14ac:dyDescent="0.2">
      <c r="A27" s="32" t="s">
        <v>84</v>
      </c>
      <c r="B27" s="33">
        <v>-472</v>
      </c>
      <c r="C27" s="33">
        <v>-1528</v>
      </c>
      <c r="D27" s="33">
        <v>-435</v>
      </c>
      <c r="E27" s="33">
        <v>866</v>
      </c>
      <c r="F27" s="33">
        <v>-2179</v>
      </c>
      <c r="G27" s="33">
        <v>-3555</v>
      </c>
      <c r="H27" s="33">
        <v>-488</v>
      </c>
      <c r="I27" s="33">
        <v>520</v>
      </c>
      <c r="J27" s="33">
        <v>100</v>
      </c>
      <c r="K27" s="33">
        <v>100</v>
      </c>
      <c r="L27" s="33">
        <v>100</v>
      </c>
      <c r="M27" s="33">
        <v>100</v>
      </c>
      <c r="N27" s="33">
        <v>100</v>
      </c>
      <c r="O27" s="33">
        <v>100</v>
      </c>
    </row>
    <row r="28" spans="1:15" ht="15.75" customHeight="1" x14ac:dyDescent="0.2">
      <c r="A28" s="32" t="s">
        <v>85</v>
      </c>
      <c r="B28" s="33">
        <v>668</v>
      </c>
      <c r="C28" s="33">
        <v>-174</v>
      </c>
      <c r="D28" s="33">
        <v>725</v>
      </c>
      <c r="E28" s="33">
        <v>210</v>
      </c>
      <c r="F28" s="33">
        <v>744</v>
      </c>
      <c r="G28" s="33">
        <v>-1302</v>
      </c>
      <c r="H28" s="33">
        <v>1915</v>
      </c>
      <c r="I28" s="33">
        <v>862</v>
      </c>
      <c r="J28" s="33">
        <v>750</v>
      </c>
      <c r="K28" s="33">
        <v>750</v>
      </c>
      <c r="L28" s="33">
        <v>750</v>
      </c>
      <c r="M28" s="33">
        <v>750</v>
      </c>
      <c r="N28" s="33">
        <v>750</v>
      </c>
      <c r="O28" s="33">
        <v>750</v>
      </c>
    </row>
    <row r="29" spans="1:15" ht="15" customHeight="1" x14ac:dyDescent="0.2">
      <c r="A29" s="32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</row>
    <row r="30" spans="1:15" ht="15.75" customHeight="1" x14ac:dyDescent="0.2">
      <c r="A30" s="32" t="s">
        <v>86</v>
      </c>
      <c r="B30" s="34">
        <f t="shared" ref="B30:O30" si="13">B26+B27-B28</f>
        <v>-2874</v>
      </c>
      <c r="C30" s="34">
        <f t="shared" si="13"/>
        <v>1077</v>
      </c>
      <c r="D30" s="34">
        <f t="shared" si="13"/>
        <v>-1883</v>
      </c>
      <c r="E30" s="34">
        <f t="shared" si="13"/>
        <v>-790</v>
      </c>
      <c r="F30" s="34">
        <f t="shared" si="13"/>
        <v>-2733</v>
      </c>
      <c r="G30" s="34">
        <f t="shared" si="13"/>
        <v>510</v>
      </c>
      <c r="H30" s="34">
        <f t="shared" si="13"/>
        <v>-5984</v>
      </c>
      <c r="I30" s="34">
        <f t="shared" si="13"/>
        <v>-2118</v>
      </c>
      <c r="J30" s="34">
        <f t="shared" si="13"/>
        <v>-400</v>
      </c>
      <c r="K30" s="34">
        <f t="shared" si="13"/>
        <v>-400</v>
      </c>
      <c r="L30" s="34">
        <f t="shared" si="13"/>
        <v>-400</v>
      </c>
      <c r="M30" s="34">
        <f t="shared" si="13"/>
        <v>-400</v>
      </c>
      <c r="N30" s="34">
        <f t="shared" si="13"/>
        <v>-400</v>
      </c>
      <c r="O30" s="34">
        <f t="shared" si="13"/>
        <v>-400</v>
      </c>
    </row>
    <row r="31" spans="1:15" ht="15" customHeight="1" x14ac:dyDescent="0.2">
      <c r="A31" s="32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</row>
    <row r="32" spans="1:15" ht="15.75" customHeight="1" x14ac:dyDescent="0.2">
      <c r="A32" s="35" t="s">
        <v>46</v>
      </c>
      <c r="B32" s="36">
        <f t="shared" ref="B32:O32" si="14">((B14-B19)*(1-B18))+B23-B24-B30+B20-B21</f>
        <v>13820.012000000002</v>
      </c>
      <c r="C32" s="36">
        <f t="shared" si="14"/>
        <v>1194.8960000000006</v>
      </c>
      <c r="D32" s="36">
        <f t="shared" si="14"/>
        <v>2164.8060000000005</v>
      </c>
      <c r="E32" s="36">
        <f t="shared" si="14"/>
        <v>3544.2440000000006</v>
      </c>
      <c r="F32" s="36">
        <f t="shared" si="14"/>
        <v>6678.7630000000008</v>
      </c>
      <c r="G32" s="36">
        <f t="shared" si="14"/>
        <v>-6131.4299999999994</v>
      </c>
      <c r="H32" s="36">
        <f t="shared" si="14"/>
        <v>6069.3320000000003</v>
      </c>
      <c r="I32" s="36">
        <f t="shared" si="14"/>
        <v>3321.2839999999997</v>
      </c>
      <c r="J32" s="36">
        <f t="shared" si="14"/>
        <v>19757.959897999997</v>
      </c>
      <c r="K32" s="36">
        <f t="shared" si="14"/>
        <v>30712.505572360002</v>
      </c>
      <c r="L32" s="36">
        <f t="shared" si="14"/>
        <v>33201.724669127725</v>
      </c>
      <c r="M32" s="36">
        <f t="shared" si="14"/>
        <v>38126.918542731873</v>
      </c>
      <c r="N32" s="36">
        <f t="shared" si="14"/>
        <v>40746.027600139452</v>
      </c>
      <c r="O32" s="36">
        <f t="shared" si="14"/>
        <v>40112.187425331009</v>
      </c>
    </row>
    <row r="33" spans="1:19" hidden="1" x14ac:dyDescent="0.2">
      <c r="A33" s="32"/>
    </row>
    <row r="34" spans="1:19" ht="15.75" hidden="1" customHeight="1" x14ac:dyDescent="0.2">
      <c r="A34" s="32" t="s">
        <v>87</v>
      </c>
      <c r="J34" s="41">
        <v>0.3</v>
      </c>
      <c r="K34" s="41">
        <v>0.25</v>
      </c>
      <c r="L34" s="41">
        <v>0.22</v>
      </c>
      <c r="M34" s="41">
        <v>0.18</v>
      </c>
      <c r="N34" s="41">
        <v>0.14000000000000001</v>
      </c>
      <c r="O34" s="41">
        <v>0.12</v>
      </c>
      <c r="P34" s="38"/>
    </row>
    <row r="35" spans="1:19" ht="15.75" hidden="1" customHeight="1" x14ac:dyDescent="0.2">
      <c r="A35" s="32" t="s">
        <v>88</v>
      </c>
      <c r="J35" s="41">
        <v>0.15</v>
      </c>
      <c r="K35" s="41">
        <v>0.1</v>
      </c>
      <c r="L35" s="41">
        <v>0.08</v>
      </c>
      <c r="M35" s="41">
        <v>0.06</v>
      </c>
      <c r="N35" s="41">
        <v>0.03</v>
      </c>
      <c r="O35" s="41">
        <v>0.04</v>
      </c>
    </row>
    <row r="36" spans="1:19" ht="15" hidden="1" customHeight="1" x14ac:dyDescent="0.2">
      <c r="A36" s="32"/>
      <c r="Q36" s="42"/>
    </row>
    <row r="37" spans="1:19" ht="15.75" hidden="1" customHeight="1" x14ac:dyDescent="0.2">
      <c r="A37" s="32" t="s">
        <v>89</v>
      </c>
      <c r="C37" s="38"/>
      <c r="D37" s="38"/>
      <c r="E37" s="38"/>
      <c r="F37" s="38"/>
      <c r="G37" s="38"/>
      <c r="H37" s="38"/>
      <c r="I37" s="38"/>
      <c r="J37" s="41">
        <v>0.25</v>
      </c>
      <c r="K37" s="41">
        <v>0.22</v>
      </c>
      <c r="L37" s="41">
        <v>0.2</v>
      </c>
      <c r="M37" s="41">
        <v>0.18</v>
      </c>
      <c r="N37" s="41">
        <v>0.16</v>
      </c>
      <c r="O37" s="41">
        <v>0.14000000000000001</v>
      </c>
      <c r="Q37" s="42"/>
      <c r="S37" s="43"/>
    </row>
    <row r="38" spans="1:19" ht="15.75" hidden="1" customHeight="1" x14ac:dyDescent="0.2">
      <c r="A38" s="32" t="s">
        <v>90</v>
      </c>
      <c r="C38" s="38"/>
      <c r="D38" s="38"/>
      <c r="E38" s="38"/>
      <c r="F38" s="38"/>
      <c r="G38" s="38"/>
      <c r="H38" s="38"/>
      <c r="I38" s="38"/>
      <c r="J38" s="41">
        <v>0.14000000000000001</v>
      </c>
      <c r="K38" s="41">
        <v>0.1</v>
      </c>
      <c r="L38" s="41">
        <v>7.0000000000000007E-2</v>
      </c>
      <c r="M38" s="41">
        <v>0.05</v>
      </c>
      <c r="N38" s="41">
        <v>0.03</v>
      </c>
      <c r="O38" s="41">
        <v>0.02</v>
      </c>
      <c r="Q38" s="42"/>
      <c r="R38" s="42"/>
    </row>
    <row r="39" spans="1:19" ht="15" hidden="1" customHeight="1" x14ac:dyDescent="0.2">
      <c r="A39" s="32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Q39" s="42"/>
    </row>
    <row r="40" spans="1:19" ht="15.75" hidden="1" customHeight="1" x14ac:dyDescent="0.2">
      <c r="A40" s="32" t="s">
        <v>91</v>
      </c>
      <c r="C40" s="38"/>
      <c r="D40" s="38"/>
      <c r="E40" s="38"/>
      <c r="F40" s="38"/>
      <c r="G40" s="38"/>
      <c r="H40" s="38"/>
      <c r="I40" s="38"/>
      <c r="J40" s="44">
        <v>0.91</v>
      </c>
      <c r="K40" s="44">
        <v>0.93</v>
      </c>
      <c r="L40" s="44">
        <v>1</v>
      </c>
      <c r="M40" s="44">
        <v>1.05</v>
      </c>
      <c r="N40" s="44">
        <v>1.03</v>
      </c>
      <c r="O40" s="44">
        <v>0.95</v>
      </c>
      <c r="Q40" s="42"/>
    </row>
    <row r="41" spans="1:19" ht="15" hidden="1" customHeight="1" x14ac:dyDescent="0.2">
      <c r="A41" s="32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50" t="s">
        <v>140</v>
      </c>
      <c r="Q41" s="42"/>
    </row>
    <row r="42" spans="1:19" ht="15" hidden="1" customHeight="1" x14ac:dyDescent="0.2">
      <c r="A42" s="32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1:19" ht="15.75" hidden="1" customHeight="1" x14ac:dyDescent="0.2">
      <c r="A43" s="32" t="s">
        <v>92</v>
      </c>
      <c r="B43" s="38"/>
      <c r="C43" s="38"/>
      <c r="D43" s="38"/>
      <c r="E43" s="38"/>
      <c r="F43" s="38"/>
      <c r="G43" s="38"/>
      <c r="H43" s="38"/>
      <c r="I43" s="38"/>
      <c r="J43" s="34">
        <f>J32/(1+Assumptions!$C$30)^1</f>
        <v>17415.566238871746</v>
      </c>
      <c r="K43" s="34">
        <f>K32/(1+Assumptions!$C$30)^2</f>
        <v>23861.96738912442</v>
      </c>
      <c r="L43" s="34">
        <f>L32/(1+Assumptions!$C$30)^3</f>
        <v>22737.731989189608</v>
      </c>
      <c r="M43" s="34">
        <f>M32/(1+Assumptions!$C$30)^4</f>
        <v>23015.144485712444</v>
      </c>
      <c r="N43" s="34">
        <f>N32/(1+Assumptions!$C$30)^5</f>
        <v>21680.174524046924</v>
      </c>
      <c r="O43" s="34">
        <f>O32/(1+Assumptions!$C$30)^6</f>
        <v>18812.622658266806</v>
      </c>
    </row>
    <row r="44" spans="1:19" ht="15" customHeight="1" x14ac:dyDescent="0.2"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</row>
    <row r="45" spans="1:19" ht="15" customHeight="1" x14ac:dyDescent="0.2"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</row>
    <row r="46" spans="1:19" ht="15.75" customHeight="1" x14ac:dyDescent="0.2">
      <c r="G46" s="38"/>
      <c r="H46" s="38"/>
      <c r="I46" s="38"/>
      <c r="J46" s="38"/>
      <c r="K46" s="38"/>
      <c r="L46" s="38"/>
      <c r="M46" s="38"/>
      <c r="N46" s="38"/>
      <c r="O46" s="38"/>
    </row>
    <row r="47" spans="1:19" ht="15.75" customHeight="1" x14ac:dyDescent="0.2">
      <c r="G47" s="38"/>
      <c r="H47" s="38"/>
      <c r="I47" s="38"/>
      <c r="J47" s="45"/>
      <c r="K47" s="38"/>
      <c r="L47" s="38"/>
      <c r="M47" s="38"/>
      <c r="N47" s="38"/>
      <c r="O47" s="38"/>
    </row>
    <row r="48" spans="1:19" ht="15.75" customHeight="1" x14ac:dyDescent="0.2">
      <c r="G48" s="38"/>
      <c r="H48" s="38"/>
      <c r="I48" s="38"/>
      <c r="J48" s="38"/>
      <c r="K48" s="38"/>
      <c r="L48" s="38"/>
      <c r="M48" s="38"/>
      <c r="N48" s="38"/>
      <c r="O48" s="38"/>
      <c r="P48" s="38"/>
    </row>
    <row r="49" spans="7:15" ht="15.75" customHeight="1" x14ac:dyDescent="0.2">
      <c r="G49" s="38"/>
      <c r="H49" s="38"/>
      <c r="I49" s="38"/>
      <c r="J49" s="38"/>
      <c r="K49" s="38"/>
      <c r="L49" s="38"/>
      <c r="M49" s="38"/>
      <c r="N49" s="38"/>
      <c r="O49" s="38"/>
    </row>
    <row r="50" spans="7:15" ht="15.75" customHeight="1" x14ac:dyDescent="0.2">
      <c r="G50" s="38"/>
      <c r="H50" s="38"/>
      <c r="I50" s="38"/>
      <c r="J50" s="38"/>
      <c r="K50" s="38"/>
      <c r="L50" s="38"/>
      <c r="M50" s="38"/>
      <c r="N50" s="38"/>
      <c r="O50" s="38"/>
    </row>
    <row r="51" spans="7:15" ht="15.75" customHeight="1" x14ac:dyDescent="0.2">
      <c r="G51" s="38"/>
      <c r="H51" s="38"/>
      <c r="I51" s="38"/>
      <c r="J51" s="38"/>
      <c r="K51" s="38"/>
      <c r="L51" s="38"/>
      <c r="M51" s="38"/>
      <c r="N51" s="38"/>
      <c r="O51" s="38"/>
    </row>
    <row r="52" spans="7:15" ht="15.75" customHeight="1" x14ac:dyDescent="0.2">
      <c r="G52" s="38"/>
      <c r="H52" s="38"/>
      <c r="I52" s="38"/>
      <c r="J52" s="38"/>
      <c r="K52" s="38"/>
      <c r="L52" s="38"/>
      <c r="M52" s="38"/>
      <c r="N52" s="38"/>
      <c r="O52" s="38"/>
    </row>
    <row r="53" spans="7:15" ht="15.75" customHeight="1" x14ac:dyDescent="0.2">
      <c r="G53" s="38"/>
      <c r="H53" s="38"/>
      <c r="I53" s="38"/>
      <c r="J53" s="38"/>
      <c r="K53" s="38"/>
      <c r="L53" s="38"/>
      <c r="M53" s="38"/>
      <c r="N53" s="38"/>
      <c r="O53" s="38"/>
    </row>
    <row r="54" spans="7:15" ht="15.75" customHeight="1" x14ac:dyDescent="0.2">
      <c r="G54" s="38"/>
      <c r="H54" s="38"/>
      <c r="I54" s="38"/>
      <c r="J54" s="38"/>
      <c r="K54" s="38"/>
      <c r="L54" s="38"/>
      <c r="M54" s="38"/>
      <c r="N54" s="38"/>
      <c r="O54" s="38"/>
    </row>
    <row r="55" spans="7:15" ht="18.75" customHeight="1" x14ac:dyDescent="0.2">
      <c r="G55" s="38"/>
      <c r="H55" s="38"/>
      <c r="I55" s="38"/>
      <c r="J55" s="38"/>
      <c r="K55" s="38"/>
      <c r="L55" s="38"/>
      <c r="M55" s="38"/>
      <c r="N55" s="38"/>
      <c r="O55" s="38"/>
    </row>
    <row r="56" spans="7:15" ht="15.75" customHeight="1" x14ac:dyDescent="0.2"/>
  </sheetData>
  <mergeCells count="1">
    <mergeCell ref="Q6:R6"/>
  </mergeCells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3A83E-AECF-D481-3A9C-AAF55499D82C}">
  <dimension ref="B2:H30"/>
  <sheetViews>
    <sheetView showGridLines="0" workbookViewId="0">
      <selection activeCell="D24" sqref="D24"/>
    </sheetView>
  </sheetViews>
  <sheetFormatPr baseColWidth="10" defaultColWidth="9.1640625" defaultRowHeight="15" customHeight="1" x14ac:dyDescent="0.2"/>
  <cols>
    <col min="2" max="2" width="24.83203125" bestFit="1" customWidth="1"/>
    <col min="3" max="3" width="11.1640625" bestFit="1" customWidth="1"/>
    <col min="4" max="4" width="7" bestFit="1" customWidth="1"/>
    <col min="5" max="5" width="17.1640625" bestFit="1" customWidth="1"/>
    <col min="6" max="6" width="11.1640625" bestFit="1" customWidth="1"/>
    <col min="7" max="7" width="7" bestFit="1" customWidth="1"/>
  </cols>
  <sheetData>
    <row r="2" spans="2:8" ht="17.25" customHeight="1" x14ac:dyDescent="0.2">
      <c r="B2" s="8" t="s">
        <v>113</v>
      </c>
      <c r="C2" s="8"/>
      <c r="D2" s="8"/>
      <c r="E2" s="8"/>
    </row>
    <row r="4" spans="2:8" ht="16.5" customHeight="1" x14ac:dyDescent="0.2">
      <c r="B4" s="20" t="s">
        <v>114</v>
      </c>
    </row>
    <row r="5" spans="2:8" ht="15.75" hidden="1" customHeight="1" x14ac:dyDescent="0.2">
      <c r="B5" s="21" t="s">
        <v>115</v>
      </c>
      <c r="C5" s="17">
        <v>51180</v>
      </c>
    </row>
    <row r="6" spans="2:8" ht="16.5" hidden="1" customHeight="1" x14ac:dyDescent="0.2">
      <c r="B6" s="21" t="s">
        <v>116</v>
      </c>
      <c r="C6" s="46">
        <v>151857</v>
      </c>
    </row>
    <row r="7" spans="2:8" ht="15.75" hidden="1" customHeight="1" x14ac:dyDescent="0.2">
      <c r="B7" s="21" t="s">
        <v>117</v>
      </c>
      <c r="C7" s="47">
        <v>6</v>
      </c>
    </row>
    <row r="8" spans="2:8" ht="16.5" customHeight="1" x14ac:dyDescent="0.2">
      <c r="B8" s="21" t="s">
        <v>118</v>
      </c>
      <c r="C8" s="48">
        <f t="shared" ref="C8:C14" si="0">((C6/C5)^(1/C7))-1</f>
        <v>0.19873289286624973</v>
      </c>
    </row>
    <row r="10" spans="2:8" ht="16.5" customHeight="1" x14ac:dyDescent="0.2">
      <c r="B10" s="20" t="s">
        <v>119</v>
      </c>
    </row>
    <row r="11" spans="2:8" ht="15.75" hidden="1" customHeight="1" x14ac:dyDescent="0.2">
      <c r="B11" s="21" t="s">
        <v>115</v>
      </c>
      <c r="C11" s="17">
        <v>30000</v>
      </c>
    </row>
    <row r="12" spans="2:8" ht="16.5" hidden="1" customHeight="1" x14ac:dyDescent="0.2">
      <c r="B12" s="21" t="s">
        <v>116</v>
      </c>
      <c r="C12" s="46">
        <v>40000</v>
      </c>
    </row>
    <row r="13" spans="2:8" ht="15.75" hidden="1" customHeight="1" x14ac:dyDescent="0.2">
      <c r="B13" s="21" t="s">
        <v>117</v>
      </c>
      <c r="C13" s="47">
        <v>6</v>
      </c>
    </row>
    <row r="14" spans="2:8" ht="16.5" customHeight="1" x14ac:dyDescent="0.2">
      <c r="B14" s="21" t="s">
        <v>118</v>
      </c>
      <c r="C14" s="48">
        <f t="shared" si="0"/>
        <v>4.9115063421648175E-2</v>
      </c>
    </row>
    <row r="15" spans="2:8" ht="15" customHeight="1" x14ac:dyDescent="0.2">
      <c r="H15" s="38"/>
    </row>
    <row r="16" spans="2:8" ht="16.5" customHeight="1" x14ac:dyDescent="0.2">
      <c r="B16" s="20" t="s">
        <v>120</v>
      </c>
      <c r="C16" s="20"/>
      <c r="D16" s="20"/>
      <c r="E16" s="20"/>
      <c r="F16" s="20"/>
      <c r="G16" s="20"/>
    </row>
    <row r="17" spans="2:7" ht="15.75" customHeight="1" x14ac:dyDescent="0.2">
      <c r="B17" s="49" t="s">
        <v>64</v>
      </c>
      <c r="C17" s="49" t="s">
        <v>65</v>
      </c>
      <c r="D17" s="49" t="s">
        <v>66</v>
      </c>
      <c r="E17" s="49" t="s">
        <v>67</v>
      </c>
      <c r="F17" s="49" t="s">
        <v>68</v>
      </c>
      <c r="G17" s="49" t="s">
        <v>69</v>
      </c>
    </row>
    <row r="18" spans="2:7" ht="15.75" customHeight="1" x14ac:dyDescent="0.2">
      <c r="B18" s="25">
        <f>DCF!J24/DCF!J6</f>
        <v>0.28000000000000003</v>
      </c>
      <c r="C18" s="25">
        <f>DCF!K24/DCF!K6</f>
        <v>0.26</v>
      </c>
      <c r="D18" s="25">
        <f>DCF!L24/DCF!L6</f>
        <v>0.24</v>
      </c>
      <c r="E18" s="25">
        <f>DCF!M24/DCF!M6</f>
        <v>0.22</v>
      </c>
      <c r="F18" s="25">
        <f>DCF!N24/DCF!N6</f>
        <v>0.2</v>
      </c>
      <c r="G18" s="25">
        <f>DCF!O24/DCF!O6</f>
        <v>0.18</v>
      </c>
    </row>
    <row r="20" spans="2:7" ht="15" customHeight="1" x14ac:dyDescent="0.2">
      <c r="B20" s="51" t="s">
        <v>93</v>
      </c>
      <c r="C20" s="51"/>
      <c r="E20" s="51" t="s">
        <v>94</v>
      </c>
      <c r="F20" s="51"/>
    </row>
    <row r="21" spans="2:7" ht="15" customHeight="1" x14ac:dyDescent="0.2">
      <c r="B21" s="52" t="s">
        <v>95</v>
      </c>
      <c r="C21" s="59">
        <v>2.9000000000000001E-2</v>
      </c>
      <c r="E21" s="52" t="s">
        <v>96</v>
      </c>
      <c r="F21" s="63">
        <f>SUM(DCF!J43:O43)</f>
        <v>127523.20728521195</v>
      </c>
    </row>
    <row r="22" spans="2:7" ht="15" customHeight="1" x14ac:dyDescent="0.2">
      <c r="B22" s="52" t="s">
        <v>97</v>
      </c>
      <c r="C22" s="59">
        <v>0.04</v>
      </c>
      <c r="E22" s="52" t="s">
        <v>98</v>
      </c>
      <c r="F22" s="63">
        <f>F23/(1+C30)^6</f>
        <v>183489.94042991981</v>
      </c>
    </row>
    <row r="23" spans="2:7" ht="15" customHeight="1" x14ac:dyDescent="0.2">
      <c r="B23" s="52" t="s">
        <v>99</v>
      </c>
      <c r="C23" s="59">
        <v>5.5E-2</v>
      </c>
      <c r="E23" s="52" t="s">
        <v>100</v>
      </c>
      <c r="F23" s="63">
        <f>(DCF!O32*(1+C21))/(C30-C21)</f>
        <v>391236.40626223321</v>
      </c>
    </row>
    <row r="24" spans="2:7" ht="15" customHeight="1" x14ac:dyDescent="0.2">
      <c r="B24" s="52" t="s">
        <v>101</v>
      </c>
      <c r="C24" s="60">
        <v>1.9</v>
      </c>
      <c r="E24" s="52" t="s">
        <v>24</v>
      </c>
      <c r="F24" s="57">
        <f>F21+F22</f>
        <v>311013.14771513175</v>
      </c>
    </row>
    <row r="25" spans="2:7" ht="15" customHeight="1" x14ac:dyDescent="0.2">
      <c r="B25" s="52" t="s">
        <v>102</v>
      </c>
      <c r="C25" s="61">
        <f>C22+(C24*C23)</f>
        <v>0.14449999999999999</v>
      </c>
      <c r="E25" s="52" t="s">
        <v>103</v>
      </c>
      <c r="F25" s="63">
        <f>Snapshot!C12</f>
        <v>4935</v>
      </c>
    </row>
    <row r="26" spans="2:7" ht="15" customHeight="1" x14ac:dyDescent="0.2">
      <c r="B26" s="52" t="s">
        <v>104</v>
      </c>
      <c r="C26" s="59">
        <v>0.05</v>
      </c>
      <c r="E26" s="52" t="s">
        <v>105</v>
      </c>
      <c r="F26" s="57">
        <f>F24-F25</f>
        <v>306078.14771513175</v>
      </c>
    </row>
    <row r="27" spans="2:7" ht="15" customHeight="1" x14ac:dyDescent="0.2">
      <c r="B27" s="52" t="s">
        <v>106</v>
      </c>
      <c r="C27" s="59">
        <v>0.11</v>
      </c>
      <c r="E27" s="52" t="s">
        <v>107</v>
      </c>
      <c r="F27" s="58">
        <f>F26/Snapshot!C4</f>
        <v>272.06946463567266</v>
      </c>
    </row>
    <row r="28" spans="2:7" ht="15" customHeight="1" x14ac:dyDescent="0.2">
      <c r="B28" s="52" t="s">
        <v>108</v>
      </c>
      <c r="C28" s="59">
        <v>0.9</v>
      </c>
      <c r="E28" s="52" t="s">
        <v>109</v>
      </c>
      <c r="F28" s="63">
        <f>Snapshot!C5</f>
        <v>224</v>
      </c>
    </row>
    <row r="29" spans="2:7" ht="15" customHeight="1" x14ac:dyDescent="0.2">
      <c r="B29" s="52" t="s">
        <v>110</v>
      </c>
      <c r="C29" s="61">
        <f>1-C28</f>
        <v>9.9999999999999978E-2</v>
      </c>
      <c r="E29" s="52" t="s">
        <v>111</v>
      </c>
      <c r="F29" s="55">
        <f>(F27-F28)/F28</f>
        <v>0.21459582426639581</v>
      </c>
    </row>
    <row r="30" spans="2:7" ht="15" customHeight="1" x14ac:dyDescent="0.2">
      <c r="B30" s="52" t="s">
        <v>112</v>
      </c>
      <c r="C30" s="62">
        <f>(C25*C28)+((C26*C29)*(1-C27))</f>
        <v>0.13450000000000001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4B898-F138-74DD-593E-8DB39D013D78}">
  <dimension ref="B2:J25"/>
  <sheetViews>
    <sheetView showGridLines="0" tabSelected="1" workbookViewId="0">
      <selection activeCell="N17" sqref="N17"/>
    </sheetView>
  </sheetViews>
  <sheetFormatPr baseColWidth="10" defaultColWidth="8.83203125" defaultRowHeight="15" customHeight="1" x14ac:dyDescent="0.2"/>
  <cols>
    <col min="2" max="2" width="47.6640625" bestFit="1" customWidth="1"/>
    <col min="3" max="3" width="11.1640625" bestFit="1" customWidth="1"/>
    <col min="5" max="5" width="32.5" bestFit="1" customWidth="1"/>
    <col min="6" max="10" width="7.6640625" bestFit="1" customWidth="1"/>
  </cols>
  <sheetData>
    <row r="2" spans="2:10" ht="21" customHeight="1" x14ac:dyDescent="0.25">
      <c r="B2" s="64" t="s">
        <v>121</v>
      </c>
      <c r="C2" s="64"/>
      <c r="D2" s="64"/>
      <c r="E2" s="64"/>
      <c r="F2" s="64"/>
      <c r="G2" s="64"/>
      <c r="H2" s="64"/>
      <c r="I2" s="64"/>
      <c r="J2" s="64"/>
    </row>
    <row r="4" spans="2:10" ht="16.5" customHeight="1" x14ac:dyDescent="0.2">
      <c r="B4" s="65" t="s">
        <v>122</v>
      </c>
      <c r="C4" s="65"/>
      <c r="E4" s="66" t="s">
        <v>123</v>
      </c>
      <c r="F4" s="66"/>
      <c r="G4" s="66"/>
      <c r="H4" s="66"/>
      <c r="I4" s="66"/>
      <c r="J4" s="66"/>
    </row>
    <row r="5" spans="2:10" ht="15.75" customHeight="1" x14ac:dyDescent="0.2">
      <c r="B5" s="52" t="s">
        <v>124</v>
      </c>
      <c r="C5" s="63">
        <f>Snapshot!C5</f>
        <v>224</v>
      </c>
      <c r="E5" s="67" t="s">
        <v>125</v>
      </c>
      <c r="F5" s="68">
        <v>8.5000000000000006E-2</v>
      </c>
      <c r="G5" s="68">
        <v>9.5000000000000001E-2</v>
      </c>
      <c r="H5" s="68">
        <v>0.1</v>
      </c>
      <c r="I5" s="68">
        <v>0.105</v>
      </c>
      <c r="J5" s="68">
        <v>0.11</v>
      </c>
    </row>
    <row r="6" spans="2:10" ht="15.75" customHeight="1" x14ac:dyDescent="0.2">
      <c r="B6" s="52" t="s">
        <v>126</v>
      </c>
      <c r="C6" s="63">
        <f>Snapshot!C4</f>
        <v>1125</v>
      </c>
      <c r="E6" s="67" t="s">
        <v>127</v>
      </c>
    </row>
    <row r="7" spans="2:10" ht="15.75" customHeight="1" x14ac:dyDescent="0.2">
      <c r="B7" s="52" t="s">
        <v>19</v>
      </c>
      <c r="C7" s="63">
        <f>Snapshot!C6</f>
        <v>252000</v>
      </c>
      <c r="E7" s="68">
        <v>0.02</v>
      </c>
      <c r="F7" s="74">
        <f>(Assumptions!F21+(DCF!O32*(1+E7))/(F$5-E7)/(1+F$5)^6-Snapshot!C12)/Snapshot!C4</f>
        <v>451.91840267706505</v>
      </c>
      <c r="G7" s="74">
        <f>(Assumptions!F21+(DCF!O32*(1+E7))/(G$5-E7)/(1+G$5)^6-Snapshot!C12)/Snapshot!C4</f>
        <v>390.2726614761001</v>
      </c>
      <c r="H7" s="74">
        <f>(Assumptions!F21+(DCF!O32*(1+E7))/(H$5-E7)/(1+H$5)^6-Snapshot!C12)/Snapshot!C4</f>
        <v>365.57984826030952</v>
      </c>
      <c r="I7" s="74">
        <f>(Assumptions!F21+(DCF!O32*(1+E7))/(I$5-E7)/(1+I$5)^6-Snapshot!C12)/Snapshot!C4</f>
        <v>344.00167934904539</v>
      </c>
      <c r="J7" s="74">
        <f>(Assumptions!F21+(DCF!O32*(1+E7))/(J$5-E7)/(1+J$5)^6-Snapshot!C12)/Snapshot!C4</f>
        <v>325.01199354614266</v>
      </c>
    </row>
    <row r="8" spans="2:10" ht="15.75" customHeight="1" x14ac:dyDescent="0.2">
      <c r="B8" s="52" t="s">
        <v>24</v>
      </c>
      <c r="C8" s="63">
        <f>Snapshot!C11</f>
        <v>256935</v>
      </c>
      <c r="E8" s="68">
        <v>2.5000000000000001E-2</v>
      </c>
      <c r="F8" s="74">
        <f>(Assumptions!F21+(DCF!O32*(1+E8))/(F$5-E8)/(1+F$5)^6-Snapshot!C12)/Snapshot!C4</f>
        <v>482.31888890533213</v>
      </c>
      <c r="G8" s="74">
        <f>(Assumptions!F21+(DCF!O32*(1+E8))/(G$5-E8)/(1+G$5)^6-Snapshot!C12)/Snapshot!C4</f>
        <v>411.84334606237854</v>
      </c>
      <c r="H8" s="74">
        <f>(Assumptions!F21+(DCF!O32*(1+E8))/(H$5-E8)/(1+H$5)^6-Snapshot!C12)/Snapshot!C4</f>
        <v>384.02911676914897</v>
      </c>
      <c r="I8" s="74">
        <f>(Assumptions!F21+(DCF!O32*(1+E8))/(I$5-E8)/(1+I$5)^6-Snapshot!C12)/Snapshot!C4</f>
        <v>359.91546576465669</v>
      </c>
      <c r="J8" s="74">
        <f>(Assumptions!F21+(DCF!O32*(1+E8))/(J$5-E8)/(1+J$5)^6-Snapshot!C12)/Snapshot!C4</f>
        <v>338.84184446779636</v>
      </c>
    </row>
    <row r="9" spans="2:10" ht="16.5" customHeight="1" x14ac:dyDescent="0.2">
      <c r="E9" s="68">
        <v>2.8000000000000001E-2</v>
      </c>
      <c r="F9" s="74">
        <f>(Assumptions!F21+(DCF!O32*(1+E9))/(F$5-E9)/(1+F$5)^6-Snapshot!C12)/Snapshot!C4</f>
        <v>503.11922158783051</v>
      </c>
      <c r="G9" s="74">
        <f>(Assumptions!F21+(DCF!O32*(1+E9))/(G$5-E9)/(1+G$5)^6-Snapshot!C12)/Snapshot!C4</f>
        <v>426.33111929196861</v>
      </c>
      <c r="H9" s="75">
        <f>(Assumptions!F21+(DCF!O32*(1+E9))/(H$5-E9)/(1+H$5)^6-Snapshot!C12)/Snapshot!C4</f>
        <v>396.32862910837531</v>
      </c>
      <c r="I9" s="74">
        <f>(Assumptions!F21+(DCF!O32*(1+E9))/(I$5-E9)/(1+I$5)^6-Snapshot!C12)/Snapshot!C4</f>
        <v>370.45576585811347</v>
      </c>
      <c r="J9" s="74">
        <f>(Assumptions!F21+(DCF!O32*(1+E9))/(J$5-E9)/(1+J$5)^6-Snapshot!C12)/Snapshot!C4</f>
        <v>347.94930726986098</v>
      </c>
    </row>
    <row r="10" spans="2:10" ht="16.5" customHeight="1" x14ac:dyDescent="0.2">
      <c r="B10" s="65" t="s">
        <v>128</v>
      </c>
      <c r="C10" s="65"/>
      <c r="E10" s="68">
        <v>0.03</v>
      </c>
      <c r="F10" s="74">
        <f>(Assumptions!F21+(DCF!O32*(1+E10))/(F$5-E10)/(1+F$5)^6-Snapshot!C12)/Snapshot!C4</f>
        <v>518.24673626601134</v>
      </c>
      <c r="G10" s="74">
        <f>(Assumptions!F21+(DCF!O32*(1+E10))/(G$5-E10)/(1+G$5)^6-Snapshot!C12)/Snapshot!C4</f>
        <v>436.73259750808455</v>
      </c>
      <c r="H10" s="74">
        <f>(Assumptions!F21+(DCF!O32*(1+E10))/(H$5-E10)/(1+H$5)^6-Snapshot!C12)/Snapshot!C4</f>
        <v>405.11399506496554</v>
      </c>
      <c r="I10" s="74">
        <f>(Assumptions!F21+(DCF!O32*(1+E10))/(I$5-E10)/(1+I$5)^6-Snapshot!C12)/Snapshot!C4</f>
        <v>377.95109036901607</v>
      </c>
      <c r="J10" s="74">
        <f>(Assumptions!F21+(DCF!O32*(1+E10))/(J$5-E10)/(1+J$5)^6-Snapshot!C12)/Snapshot!C4</f>
        <v>354.40042675465685</v>
      </c>
    </row>
    <row r="11" spans="2:10" ht="15.75" customHeight="1" x14ac:dyDescent="0.2">
      <c r="B11" s="52" t="s">
        <v>96</v>
      </c>
      <c r="C11" s="63">
        <f>Assumptions!F21</f>
        <v>127523.20728521195</v>
      </c>
      <c r="E11" s="68">
        <v>3.5000000000000003E-2</v>
      </c>
      <c r="F11" s="74">
        <f>(Assumptions!F21+(DCF!O32*(1+E11))/(F$5-E11)/(1+F$5)^6-Snapshot!C12)/Snapshot!C4</f>
        <v>561.36015309882634</v>
      </c>
      <c r="G11" s="74">
        <f>(Assumptions!F21+(DCF!O32*(1+E11))/(G$5-E11)/(1+G$5)^6-Snapshot!C12)/Snapshot!C4</f>
        <v>465.77005752807486</v>
      </c>
      <c r="H11" s="74">
        <f>(Assumptions!F21+(DCF!O32*(1+E11))/(H$5-E11)/(1+H$5)^6-Snapshot!C12)/Snapshot!C4</f>
        <v>429.44270079090779</v>
      </c>
      <c r="I11" s="74">
        <f>(Assumptions!F21+(DCF!O32*(1+E11))/(I$5-E11)/(1+I$5)^6-Snapshot!C12)/Snapshot!C4</f>
        <v>398.56323277399827</v>
      </c>
      <c r="J11" s="74">
        <f>(Assumptions!F21+(DCF!O32*(1+E11))/(J$5-E11)/(1+J$5)^6-Snapshot!C12)/Snapshot!C4</f>
        <v>372.03348667976536</v>
      </c>
    </row>
    <row r="12" spans="2:10" ht="15.75" customHeight="1" x14ac:dyDescent="0.2">
      <c r="B12" s="52" t="s">
        <v>98</v>
      </c>
      <c r="C12" s="63">
        <f>Assumptions!F22</f>
        <v>183489.94042991981</v>
      </c>
    </row>
    <row r="13" spans="2:10" ht="16.5" customHeight="1" x14ac:dyDescent="0.2">
      <c r="B13" s="52" t="s">
        <v>129</v>
      </c>
      <c r="C13" s="57">
        <f>Assumptions!F24</f>
        <v>311013.14771513175</v>
      </c>
      <c r="E13" s="65" t="s">
        <v>130</v>
      </c>
      <c r="F13" s="65"/>
      <c r="G13" s="65"/>
    </row>
    <row r="14" spans="2:10" ht="21" customHeight="1" x14ac:dyDescent="0.2">
      <c r="B14" s="52" t="s">
        <v>103</v>
      </c>
      <c r="C14" s="63">
        <f>Snapshot!C12</f>
        <v>4935</v>
      </c>
      <c r="E14" s="52" t="s">
        <v>131</v>
      </c>
      <c r="F14" s="69" t="s">
        <v>132</v>
      </c>
    </row>
    <row r="15" spans="2:10" ht="16.5" customHeight="1" x14ac:dyDescent="0.2">
      <c r="B15" s="52" t="s">
        <v>105</v>
      </c>
      <c r="C15" s="57">
        <f>Assumptions!F26</f>
        <v>306078.14771513175</v>
      </c>
      <c r="E15" s="52" t="s">
        <v>133</v>
      </c>
      <c r="F15" s="56">
        <f>C17</f>
        <v>272.06946463567266</v>
      </c>
    </row>
    <row r="16" spans="2:10" ht="15.75" customHeight="1" x14ac:dyDescent="0.2">
      <c r="E16" s="52" t="s">
        <v>109</v>
      </c>
      <c r="F16" s="56">
        <f>C5</f>
        <v>224</v>
      </c>
    </row>
    <row r="17" spans="2:6" ht="17.25" customHeight="1" x14ac:dyDescent="0.2">
      <c r="B17" s="52" t="s">
        <v>107</v>
      </c>
      <c r="C17" s="72">
        <f>Assumptions!F27</f>
        <v>272.06946463567266</v>
      </c>
      <c r="E17" s="52" t="s">
        <v>134</v>
      </c>
      <c r="F17" s="70">
        <f>C19</f>
        <v>0.21459582426639581</v>
      </c>
    </row>
    <row r="19" spans="2:6" ht="17.25" customHeight="1" x14ac:dyDescent="0.2">
      <c r="B19" s="52" t="s">
        <v>111</v>
      </c>
      <c r="C19" s="73">
        <f>Assumptions!F29</f>
        <v>0.21459582426639581</v>
      </c>
      <c r="E19" s="71" t="s">
        <v>135</v>
      </c>
      <c r="F19" s="65"/>
    </row>
    <row r="20" spans="2:6" ht="15.75" customHeight="1" x14ac:dyDescent="0.2">
      <c r="E20" s="52" t="s">
        <v>136</v>
      </c>
      <c r="F20" s="56">
        <f>MIN(F7:J11)</f>
        <v>325.01199354614266</v>
      </c>
    </row>
    <row r="21" spans="2:6" ht="16.5" customHeight="1" x14ac:dyDescent="0.2">
      <c r="B21" s="65" t="s">
        <v>137</v>
      </c>
      <c r="C21" s="65"/>
      <c r="E21" s="52" t="s">
        <v>138</v>
      </c>
      <c r="F21" s="56">
        <f>MAX(F7:J11)</f>
        <v>561.36015309882634</v>
      </c>
    </row>
    <row r="22" spans="2:6" ht="15.75" customHeight="1" x14ac:dyDescent="0.2">
      <c r="B22" s="52" t="s">
        <v>112</v>
      </c>
      <c r="C22" s="53">
        <f>Assumptions!C30</f>
        <v>0.13450000000000001</v>
      </c>
    </row>
    <row r="23" spans="2:6" ht="15.75" customHeight="1" x14ac:dyDescent="0.2">
      <c r="B23" s="52" t="s">
        <v>139</v>
      </c>
      <c r="C23" s="53">
        <f>Assumptions!C21</f>
        <v>2.9000000000000001E-2</v>
      </c>
    </row>
    <row r="24" spans="2:6" ht="15.75" customHeight="1" x14ac:dyDescent="0.2">
      <c r="B24" s="52" t="s">
        <v>102</v>
      </c>
      <c r="C24" s="53">
        <f>Assumptions!C25</f>
        <v>0.14449999999999999</v>
      </c>
    </row>
    <row r="25" spans="2:6" ht="15.75" customHeight="1" x14ac:dyDescent="0.2">
      <c r="B25" s="52" t="s">
        <v>101</v>
      </c>
      <c r="C25" s="54">
        <f>Assumptions!C24</f>
        <v>1.9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Main</vt:lpstr>
      <vt:lpstr>Snapshot</vt:lpstr>
      <vt:lpstr>EPS</vt:lpstr>
      <vt:lpstr>Ratios</vt:lpstr>
      <vt:lpstr>Revenue</vt:lpstr>
      <vt:lpstr>DCF</vt:lpstr>
      <vt:lpstr>Assumptions</vt:lpstr>
      <vt:lpstr>Valuation Summary</vt:lpstr>
      <vt:lpstr>Main!_FilterDatabase</vt:lpstr>
    </vt:vector>
  </TitlesOfParts>
  <Manager/>
  <Company>Shortcut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Shortcut</dc:creator>
  <cp:keywords/>
  <dc:description/>
  <cp:lastModifiedBy>isa haji</cp:lastModifiedBy>
  <cp:revision/>
  <dcterms:created xsi:type="dcterms:W3CDTF">2025-10-07T20:21:19Z</dcterms:created>
  <dcterms:modified xsi:type="dcterms:W3CDTF">2025-11-25T21:12:09Z</dcterms:modified>
  <cp:category/>
  <cp:contentStatus/>
</cp:coreProperties>
</file>