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sa/Desktop/f_models/"/>
    </mc:Choice>
  </mc:AlternateContent>
  <xr:revisionPtr revIDLastSave="0" documentId="13_ncr:1_{592A964C-4A37-D645-86F0-10A285E1C450}" xr6:coauthVersionLast="47" xr6:coauthVersionMax="47" xr10:uidLastSave="{00000000-0000-0000-0000-000000000000}"/>
  <bookViews>
    <workbookView xWindow="0" yWindow="760" windowWidth="30240" windowHeight="18880" activeTab="1" xr2:uid="{8579E8DF-B3A6-5B42-AEB3-8520716D2CF3}"/>
  </bookViews>
  <sheets>
    <sheet name="Main" sheetId="2" r:id="rId1"/>
    <sheet name="DCF" sheetId="1" r:id="rId2"/>
    <sheet name="Book Value" sheetId="3" r:id="rId3"/>
    <sheet name="Market Cap" sheetId="4" r:id="rId4"/>
    <sheet name="Valuation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3" l="1"/>
  <c r="C38" i="3"/>
  <c r="J21" i="1"/>
  <c r="K21" i="1" s="1"/>
  <c r="L21" i="1" s="1"/>
  <c r="M21" i="1" s="1"/>
  <c r="N21" i="1" s="1"/>
  <c r="O21" i="1" s="1"/>
  <c r="J22" i="1"/>
  <c r="K22" i="1" s="1"/>
  <c r="L22" i="1" s="1"/>
  <c r="M22" i="1" s="1"/>
  <c r="N22" i="1" s="1"/>
  <c r="O22" i="1" s="1"/>
  <c r="C3" i="5"/>
  <c r="C14" i="5" s="1"/>
  <c r="C7" i="5"/>
  <c r="C6" i="4"/>
  <c r="C4" i="5" s="1"/>
  <c r="C9" i="5" l="1"/>
  <c r="C13" i="5" s="1"/>
  <c r="C16" i="5" l="1"/>
  <c r="C33" i="3"/>
  <c r="C32" i="3"/>
  <c r="C31" i="3"/>
  <c r="C26" i="3"/>
  <c r="C20" i="3"/>
  <c r="C19" i="3"/>
  <c r="C13" i="3"/>
  <c r="C49" i="1"/>
  <c r="C50" i="1" s="1"/>
  <c r="J5" i="1"/>
  <c r="K5" i="1" s="1"/>
  <c r="L5" i="1" s="1"/>
  <c r="M5" i="1" s="1"/>
  <c r="N5" i="1" s="1"/>
  <c r="O5" i="1" s="1"/>
  <c r="J3" i="1"/>
  <c r="K3" i="1" s="1"/>
  <c r="L3" i="1" s="1"/>
  <c r="M3" i="1" s="1"/>
  <c r="N3" i="1" s="1"/>
  <c r="O3" i="1" s="1"/>
  <c r="J7" i="1"/>
  <c r="K7" i="1" s="1"/>
  <c r="L7" i="1" s="1"/>
  <c r="M7" i="1" s="1"/>
  <c r="N7" i="1" s="1"/>
  <c r="O7" i="1" s="1"/>
  <c r="J9" i="1"/>
  <c r="J4" i="1" l="1"/>
  <c r="K4" i="1" s="1"/>
  <c r="L4" i="1" s="1"/>
  <c r="M4" i="1" s="1"/>
  <c r="N4" i="1" s="1"/>
  <c r="O4" i="1" s="1"/>
  <c r="D24" i="1"/>
  <c r="E25" i="1"/>
  <c r="F25" i="1"/>
  <c r="I23" i="1"/>
  <c r="J23" i="1" s="1"/>
  <c r="K23" i="1" s="1"/>
  <c r="L23" i="1" s="1"/>
  <c r="M23" i="1" s="1"/>
  <c r="N23" i="1" s="1"/>
  <c r="O23" i="1" s="1"/>
  <c r="I24" i="1"/>
  <c r="J24" i="1" s="1"/>
  <c r="K24" i="1" s="1"/>
  <c r="L24" i="1" s="1"/>
  <c r="M24" i="1" s="1"/>
  <c r="N24" i="1" s="1"/>
  <c r="O24" i="1" s="1"/>
  <c r="I20" i="1"/>
  <c r="H25" i="1"/>
  <c r="J19" i="1"/>
  <c r="K19" i="1" s="1"/>
  <c r="L19" i="1" s="1"/>
  <c r="M19" i="1" s="1"/>
  <c r="N19" i="1" s="1"/>
  <c r="O19" i="1" s="1"/>
  <c r="J18" i="1"/>
  <c r="C16" i="1"/>
  <c r="J15" i="1"/>
  <c r="K15" i="1" s="1"/>
  <c r="L15" i="1" s="1"/>
  <c r="M15" i="1" s="1"/>
  <c r="N15" i="1" s="1"/>
  <c r="O15" i="1" s="1"/>
  <c r="J14" i="1"/>
  <c r="K14" i="1" s="1"/>
  <c r="L14" i="1" s="1"/>
  <c r="M14" i="1" s="1"/>
  <c r="N14" i="1" s="1"/>
  <c r="O14" i="1" s="1"/>
  <c r="J13" i="1"/>
  <c r="K13" i="1" s="1"/>
  <c r="L13" i="1" s="1"/>
  <c r="M13" i="1" s="1"/>
  <c r="N13" i="1" s="1"/>
  <c r="O13" i="1" s="1"/>
  <c r="J12" i="1"/>
  <c r="K12" i="1" s="1"/>
  <c r="L12" i="1" s="1"/>
  <c r="M12" i="1" s="1"/>
  <c r="N12" i="1" s="1"/>
  <c r="O12" i="1" s="1"/>
  <c r="J11" i="1"/>
  <c r="K11" i="1" s="1"/>
  <c r="K18" i="1" l="1"/>
  <c r="J20" i="1"/>
  <c r="K20" i="1" s="1"/>
  <c r="L20" i="1" s="1"/>
  <c r="M20" i="1" s="1"/>
  <c r="N20" i="1" s="1"/>
  <c r="O20" i="1" s="1"/>
  <c r="I25" i="1"/>
  <c r="L11" i="1"/>
  <c r="K16" i="1"/>
  <c r="J16" i="1"/>
  <c r="K9" i="1"/>
  <c r="L9" i="1" s="1"/>
  <c r="M9" i="1" s="1"/>
  <c r="N9" i="1" s="1"/>
  <c r="O9" i="1" s="1"/>
  <c r="J8" i="1"/>
  <c r="K8" i="1" s="1"/>
  <c r="L8" i="1" s="1"/>
  <c r="M8" i="1" s="1"/>
  <c r="N8" i="1" s="1"/>
  <c r="O8" i="1" s="1"/>
  <c r="J6" i="1"/>
  <c r="K6" i="1" s="1"/>
  <c r="L6" i="1" s="1"/>
  <c r="M6" i="1" s="1"/>
  <c r="N6" i="1" s="1"/>
  <c r="O6" i="1" s="1"/>
  <c r="C25" i="1"/>
  <c r="J29" i="1"/>
  <c r="K29" i="1" s="1"/>
  <c r="J28" i="1"/>
  <c r="K28" i="1" s="1"/>
  <c r="L28" i="1" s="1"/>
  <c r="D25" i="1"/>
  <c r="G25" i="1"/>
  <c r="I30" i="1"/>
  <c r="H30" i="1"/>
  <c r="F30" i="1"/>
  <c r="G30" i="1"/>
  <c r="E30" i="1"/>
  <c r="D30" i="1"/>
  <c r="C30" i="1"/>
  <c r="E16" i="1"/>
  <c r="D35" i="1"/>
  <c r="D16" i="1"/>
  <c r="F16" i="1"/>
  <c r="G16" i="1"/>
  <c r="H16" i="1"/>
  <c r="D10" i="1"/>
  <c r="E10" i="1"/>
  <c r="F10" i="1"/>
  <c r="G10" i="1"/>
  <c r="H10" i="1"/>
  <c r="C35" i="1"/>
  <c r="C10" i="1"/>
  <c r="C17" i="1" s="1"/>
  <c r="I16" i="1"/>
  <c r="I10" i="1"/>
  <c r="C6" i="5" s="1"/>
  <c r="C15" i="5" s="1"/>
  <c r="J25" i="1" l="1"/>
  <c r="L18" i="1"/>
  <c r="K25" i="1"/>
  <c r="D26" i="1"/>
  <c r="H26" i="1"/>
  <c r="H40" i="1" s="1"/>
  <c r="I26" i="1"/>
  <c r="K10" i="1"/>
  <c r="K17" i="1" s="1"/>
  <c r="J10" i="1"/>
  <c r="J38" i="1" s="1"/>
  <c r="I17" i="1"/>
  <c r="M11" i="1"/>
  <c r="L16" i="1"/>
  <c r="G38" i="1"/>
  <c r="E38" i="1"/>
  <c r="E26" i="1"/>
  <c r="E40" i="1" s="1"/>
  <c r="D40" i="1"/>
  <c r="J30" i="1"/>
  <c r="K30" i="1" s="1"/>
  <c r="I38" i="1"/>
  <c r="G26" i="1"/>
  <c r="G40" i="1" s="1"/>
  <c r="F26" i="1"/>
  <c r="F40" i="1" s="1"/>
  <c r="L29" i="1"/>
  <c r="M29" i="1" s="1"/>
  <c r="D38" i="1"/>
  <c r="C26" i="1"/>
  <c r="C40" i="1" s="1"/>
  <c r="M28" i="1"/>
  <c r="N28" i="1" s="1"/>
  <c r="O28" i="1" s="1"/>
  <c r="F38" i="1"/>
  <c r="H38" i="1"/>
  <c r="H17" i="1"/>
  <c r="G17" i="1"/>
  <c r="F17" i="1"/>
  <c r="E17" i="1"/>
  <c r="D17" i="1"/>
  <c r="M18" i="1" l="1"/>
  <c r="L25" i="1"/>
  <c r="J26" i="1"/>
  <c r="I40" i="1"/>
  <c r="J42" i="1"/>
  <c r="J43" i="1" s="1"/>
  <c r="J17" i="1"/>
  <c r="L30" i="1"/>
  <c r="M30" i="1" s="1"/>
  <c r="N30" i="1" s="1"/>
  <c r="K38" i="1"/>
  <c r="N11" i="1"/>
  <c r="M16" i="1"/>
  <c r="L10" i="1"/>
  <c r="L38" i="1" s="1"/>
  <c r="K26" i="1"/>
  <c r="L42" i="1" s="1"/>
  <c r="L43" i="1" s="1"/>
  <c r="N29" i="1"/>
  <c r="O29" i="1" s="1"/>
  <c r="D8" i="2"/>
  <c r="N18" i="1" l="1"/>
  <c r="M25" i="1"/>
  <c r="J40" i="1"/>
  <c r="K42" i="1"/>
  <c r="K43" i="1" s="1"/>
  <c r="L17" i="1"/>
  <c r="M10" i="1"/>
  <c r="M38" i="1" s="1"/>
  <c r="O11" i="1"/>
  <c r="O16" i="1" s="1"/>
  <c r="N16" i="1"/>
  <c r="L26" i="1"/>
  <c r="K40" i="1"/>
  <c r="O30" i="1"/>
  <c r="D6" i="2"/>
  <c r="D9" i="2" s="1"/>
  <c r="O18" i="1" l="1"/>
  <c r="O25" i="1" s="1"/>
  <c r="N25" i="1"/>
  <c r="L40" i="1"/>
  <c r="M42" i="1"/>
  <c r="M43" i="1" s="1"/>
  <c r="M17" i="1"/>
  <c r="M26" i="1"/>
  <c r="O10" i="1"/>
  <c r="O17" i="1" s="1"/>
  <c r="N10" i="1"/>
  <c r="N38" i="1" s="1"/>
  <c r="M40" i="1" l="1"/>
  <c r="N42" i="1"/>
  <c r="N43" i="1" s="1"/>
  <c r="N17" i="1"/>
  <c r="O38" i="1"/>
  <c r="O26" i="1"/>
  <c r="O40" i="1" s="1"/>
  <c r="N26" i="1"/>
  <c r="N40" i="1" l="1"/>
  <c r="O42" i="1"/>
  <c r="C53" i="1" s="1"/>
  <c r="C54" i="1" s="1"/>
  <c r="O43" i="1" l="1"/>
  <c r="C52" i="1" s="1"/>
  <c r="C59" i="1" s="1"/>
  <c r="C61" i="1" s="1"/>
  <c r="C6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tc={57EDCCC3-F0AB-8E44-90D8-A49742EA42FF}</author>
    <author>tc={200654F6-3536-1E45-98D5-9094B6BD2BA6}</author>
    <author>tc={C76DE431-E7AC-364B-8CF9-F25A1273ABAE}</author>
    <author>tc={26F3F8AB-DDE8-3841-BF6A-8F1F7616A518}</author>
    <author>tc={37FB4014-4991-564E-9058-6065F6333989}</author>
    <author>tc={259A51C7-3028-024D-A648-E664D80A3DA2}</author>
    <author>tc={E566B570-F0C1-2943-A52F-354C79E66B45}</author>
  </authors>
  <commentList>
    <comment ref="P3" authorId="0" shapeId="0" xr:uid="{57EDCCC3-F0AB-8E44-90D8-A49742EA42FF}">
      <text>
        <t>[Threaded comment]
Your version of Excel allows you to read this threaded comment; however, any edits to it will get removed if the file is opened in a newer version of Excel. Learn more: https://go.microsoft.com/fwlink/?linkid=870924
Comment:
    Beyon Annual Report 2024: Page 4 mentions focus on “telco connectivity businesses” and 5G rollout (e.g., via Umniah in Jordan). Consumer segment (page 66) shows growth potential.
Bahrain TRA (Telecommunications Regulatory Authority): Mobile penetration and 5G adoption trends. Link: tra.org.bh
GSMA Mobile Economy Middle East 2025: Forecasts 5G-driven growth in GCC (3–5% CAGR). Link: gsma.com</t>
      </text>
    </comment>
    <comment ref="P4" authorId="1" shapeId="0" xr:uid="{200654F6-3536-1E45-98D5-9094B6BD2BA6}">
      <text>
        <t>[Threaded comment]
Your version of Excel allows you to read this threaded comment; however, any edits to it will get removed if the file is opened in a newer version of Excel. Learn more: https://go.microsoft.com/fwlink/?linkid=870924
Comment:
    Beyon Annual Report 2024: Page 4 mentions ICT solutions, but legacy services (like data circuits) are declining as businesses shift to cloud.
Bahrain TRA: Enterprise connectivity trends (decline in legacy circuits). Link: tra.org.bh
Gartner Middle East ICT Forecast 2025: Shift to cloud solutions reducing demand for traditional circuits (0–1% growth). Link: gartner.com</t>
      </text>
    </comment>
    <comment ref="P5" authorId="2" shapeId="0" xr:uid="{C76DE431-E7AC-364B-8CF9-F25A1273ABAE}">
      <text>
        <t>[Threaded comment]
Your version of Excel allows you to read this threaded comment; however, any edits to it will get removed if the file is opened in a newer version of Excel. Learn more: https://go.microsoft.com/fwlink/?linkid=870924
Comment:
    Beyon Annual Report 2024: Page 4 mentions BNET’s fiber expansion, supporting broadband growth.
    Bahrain TRA: Fixed broadband penetration data. Link: tra.org.bh
    Oxford Economics Bahrain Forecast: Household growth and internet penetration (~2–3% CAGR). Link: oxfordeconomics.com</t>
      </text>
    </comment>
    <comment ref="P6" authorId="3" shapeId="0" xr:uid="{26F3F8AB-DDE8-3841-BF6A-8F1F7616A518}">
      <text>
        <t>[Threaded comment]
Your version of Excel allows you to read this threaded comment; however, any edits to it will get removed if the file is opened in a newer version of Excel. Learn more: https://go.microsoft.com/fwlink/?linkid=870924
Comment:
    Beyon Annual Report 2024: No specific mention, but legacy services are declining (inferred from strategy focus on digital).
Bahrain TRA: Fixed-line subscriber decline due to mobile substitution. Link: tra.org.bh
ITU Global Telecom Trends: Fixed-line decline globally (~5% CAGR). Link: itu.int</t>
      </text>
    </comment>
    <comment ref="P7" authorId="4" shapeId="0" xr:uid="{37FB4014-4991-564E-9058-6065F6333989}">
      <text>
        <t>[Threaded comment]
Your version of Excel allows you to read this threaded comment; however, any edits to it will get removed if the file is opened in a newer version of Excel. Learn more: https://go.microsoft.com/fwlink/?linkid=870924
Comment:
    Beyon Annual Report 2024: Page 69 (segment info) shows growth in “Others” (81,939 in 2024 vs. 68,135 in 2023), which includes wholesale (e.g., Dhiraagu, Sure Group).
Bahrain TRA: Wholesale demand for 5G backhaul. Link: tra.org.bh
Telegeography Global Bandwidth Report: Rising wholesale demand in GCC (8–10% CAGR). Link: telegeography.com</t>
      </text>
    </comment>
    <comment ref="P8" authorId="5" shapeId="0" xr:uid="{259A51C7-3028-024D-A648-E664D80A3DA2}">
      <text>
        <t>[Threaded comment]
Your version of Excel allows you to read this threaded comment; however, any edits to it will get removed if the file is opened in a newer version of Excel. Learn more: https://go.microsoft.com/fwlink/?linkid=870924
Comment:
    Beyon Annual Report 2024: Page 4 highlights digital growth (Beyon Money, Cyber, Connect, Solutions). Page 68 mentions acquisition of Insomna (cybersecurity).
Bahrain EDB: Fintech and digital economy growth in Bahrain (5–7% CAGR). Link: bahrainedb.com
Deloitte Middle East Digital Transformation 2025: Cybersecurity and fintech growth. Link: deloitte.com</t>
      </text>
    </comment>
    <comment ref="D47" authorId="6" shapeId="0" xr:uid="{E566B570-F0C1-2943-A52F-354C79E66B4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https://www.worldgovernmentbonds.com/country/bahrain/
</t>
      </text>
    </comment>
  </commentList>
</comments>
</file>

<file path=xl/sharedStrings.xml><?xml version="1.0" encoding="utf-8"?>
<sst xmlns="http://schemas.openxmlformats.org/spreadsheetml/2006/main" count="127" uniqueCount="106">
  <si>
    <t>Price</t>
  </si>
  <si>
    <t>Shares</t>
  </si>
  <si>
    <t>Q324</t>
  </si>
  <si>
    <t>MC</t>
  </si>
  <si>
    <t>Cash</t>
  </si>
  <si>
    <t>Debt</t>
  </si>
  <si>
    <t>EV</t>
  </si>
  <si>
    <t>Main</t>
  </si>
  <si>
    <t>Wholesale services</t>
  </si>
  <si>
    <t>Revenue</t>
  </si>
  <si>
    <t>Network operating Expense</t>
  </si>
  <si>
    <t>D&amp;A</t>
  </si>
  <si>
    <t>Opearting Expense</t>
  </si>
  <si>
    <t>AR</t>
  </si>
  <si>
    <t>Inventory</t>
  </si>
  <si>
    <t>AP</t>
  </si>
  <si>
    <t>Total Debt</t>
  </si>
  <si>
    <t>Total Equity</t>
  </si>
  <si>
    <t>2024A</t>
  </si>
  <si>
    <t>2023A</t>
  </si>
  <si>
    <t>2022A</t>
  </si>
  <si>
    <t>2021A</t>
  </si>
  <si>
    <t>2020A</t>
  </si>
  <si>
    <t>2018A</t>
  </si>
  <si>
    <t>2019A</t>
  </si>
  <si>
    <t>2025E</t>
  </si>
  <si>
    <t>2026E</t>
  </si>
  <si>
    <t>2027E</t>
  </si>
  <si>
    <t>2028E</t>
  </si>
  <si>
    <t>2029E</t>
  </si>
  <si>
    <t>2030E</t>
  </si>
  <si>
    <t>Revenue Growth</t>
  </si>
  <si>
    <t>CapEx</t>
  </si>
  <si>
    <t>CWC</t>
  </si>
  <si>
    <t>FCF</t>
  </si>
  <si>
    <t>Operating Margin</t>
  </si>
  <si>
    <t>WACC</t>
  </si>
  <si>
    <t>Terminal Growth Rate</t>
  </si>
  <si>
    <t>Cost of Equity</t>
  </si>
  <si>
    <t>Cost of  Debt</t>
  </si>
  <si>
    <t>PV FCF</t>
  </si>
  <si>
    <t>Discounted FCF</t>
  </si>
  <si>
    <t>Terminal Value</t>
  </si>
  <si>
    <t>PV Terminal Value</t>
  </si>
  <si>
    <t>Net Debt</t>
  </si>
  <si>
    <t>Equity Value</t>
  </si>
  <si>
    <t>Share Price</t>
  </si>
  <si>
    <t>Non-current assets</t>
  </si>
  <si>
    <t>Property and equipment</t>
  </si>
  <si>
    <t>Right-of-use assets</t>
  </si>
  <si>
    <t>Goodwill</t>
  </si>
  <si>
    <t>Other intangible assets</t>
  </si>
  <si>
    <t>Equity accounted investees</t>
  </si>
  <si>
    <t>Deferred tax assets</t>
  </si>
  <si>
    <t>Investments</t>
  </si>
  <si>
    <t>Other non-current assets</t>
  </si>
  <si>
    <t>Total non-current assets</t>
  </si>
  <si>
    <t>Current assets</t>
  </si>
  <si>
    <t>Inventories</t>
  </si>
  <si>
    <t>Trade receivables and other assets</t>
  </si>
  <si>
    <t>Cash and bank balances</t>
  </si>
  <si>
    <t>Total current assets</t>
  </si>
  <si>
    <t>Total assets</t>
  </si>
  <si>
    <t>Non-current liabilities</t>
  </si>
  <si>
    <t>Trade payables and other liabilities</t>
  </si>
  <si>
    <t>Lease liabilities</t>
  </si>
  <si>
    <t>Loans and borrowings</t>
  </si>
  <si>
    <t>Deferred tax liabilities</t>
  </si>
  <si>
    <t>Total non-current liabilities</t>
  </si>
  <si>
    <t>Current liabilities</t>
  </si>
  <si>
    <t>Total current liabilities</t>
  </si>
  <si>
    <t>Total liabilities</t>
  </si>
  <si>
    <t>Net assets</t>
  </si>
  <si>
    <t>Book Value Per Share</t>
  </si>
  <si>
    <t>P/B Ratio</t>
  </si>
  <si>
    <t>Total Capital</t>
  </si>
  <si>
    <t>Market Cap</t>
  </si>
  <si>
    <t>Net Profit</t>
  </si>
  <si>
    <t>EV/EBITDA</t>
  </si>
  <si>
    <t>EBITDA</t>
  </si>
  <si>
    <t>P/E</t>
  </si>
  <si>
    <t>EPS</t>
  </si>
  <si>
    <t>P/S</t>
  </si>
  <si>
    <t>P/B</t>
  </si>
  <si>
    <t>Valuation Inputs (BD’000)</t>
  </si>
  <si>
    <t>Valuation Outputs (BD’000)</t>
  </si>
  <si>
    <t>Operating Profit</t>
  </si>
  <si>
    <t xml:space="preserve">Mobile Telecommunication Services </t>
  </si>
  <si>
    <t>Data Communication Circuits</t>
  </si>
  <si>
    <t>Fixed Broadband</t>
  </si>
  <si>
    <t>Fixed Line Telecommunication Services</t>
  </si>
  <si>
    <t>Adjacent Services</t>
  </si>
  <si>
    <t>Other Services</t>
  </si>
  <si>
    <t>Outpayments to Telecommunications Operators</t>
  </si>
  <si>
    <t>Cost of Sales of Equipment and Services</t>
  </si>
  <si>
    <t>Maintenance, Support and Other Services</t>
  </si>
  <si>
    <t>License Fee</t>
  </si>
  <si>
    <t>Operating Lease Rentals</t>
  </si>
  <si>
    <t>Gross Profit</t>
  </si>
  <si>
    <t xml:space="preserve">Marketing, Advertising and Publicity </t>
  </si>
  <si>
    <t>IT Operations and Maintenance</t>
  </si>
  <si>
    <t>Professional Fees</t>
  </si>
  <si>
    <t>Impariment Loss on Receviables</t>
  </si>
  <si>
    <t>Staff Costs</t>
  </si>
  <si>
    <t>Office Rentals, Office Utilities and Office Expenses</t>
  </si>
  <si>
    <t>Other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</si>
</sst>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00_);_(* \(#,##0.000\);_(* &quot;-&quot;??_);_(@_)"/>
  </numFmts>
  <fonts count="1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ptos Narrow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u/>
      <sz val="12"/>
      <color theme="10"/>
      <name val="Aptos Narrow"/>
      <family val="2"/>
      <scheme val="minor"/>
    </font>
    <font>
      <u/>
      <sz val="12"/>
      <color theme="1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  <font>
      <sz val="10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0" fontId="4" fillId="0" borderId="0" xfId="0" applyFont="1"/>
    <xf numFmtId="165" fontId="0" fillId="0" borderId="0" xfId="0" applyNumberFormat="1"/>
    <xf numFmtId="0" fontId="3" fillId="0" borderId="0" xfId="0" applyFont="1"/>
    <xf numFmtId="0" fontId="6" fillId="0" borderId="0" xfId="3"/>
    <xf numFmtId="43" fontId="5" fillId="0" borderId="0" xfId="1" applyFont="1" applyBorder="1"/>
    <xf numFmtId="0" fontId="0" fillId="0" borderId="7" xfId="0" applyBorder="1"/>
    <xf numFmtId="0" fontId="4" fillId="0" borderId="7" xfId="0" applyFont="1" applyBorder="1"/>
    <xf numFmtId="0" fontId="0" fillId="0" borderId="10" xfId="0" applyBorder="1"/>
    <xf numFmtId="0" fontId="4" fillId="0" borderId="11" xfId="0" applyFont="1" applyBorder="1" applyAlignment="1">
      <alignment horizontal="right"/>
    </xf>
    <xf numFmtId="165" fontId="0" fillId="0" borderId="10" xfId="1" applyNumberFormat="1" applyFont="1" applyBorder="1"/>
    <xf numFmtId="165" fontId="3" fillId="0" borderId="10" xfId="1" applyNumberFormat="1" applyFont="1" applyBorder="1"/>
    <xf numFmtId="43" fontId="5" fillId="0" borderId="10" xfId="1" applyFont="1" applyBorder="1"/>
    <xf numFmtId="43" fontId="3" fillId="5" borderId="10" xfId="1" applyFont="1" applyFill="1" applyBorder="1"/>
    <xf numFmtId="43" fontId="0" fillId="0" borderId="10" xfId="0" applyNumberFormat="1" applyBorder="1"/>
    <xf numFmtId="165" fontId="3" fillId="0" borderId="8" xfId="0" applyNumberFormat="1" applyFont="1" applyBorder="1"/>
    <xf numFmtId="0" fontId="0" fillId="0" borderId="11" xfId="0" applyBorder="1"/>
    <xf numFmtId="0" fontId="3" fillId="0" borderId="12" xfId="0" applyFont="1" applyBorder="1"/>
    <xf numFmtId="0" fontId="3" fillId="0" borderId="9" xfId="0" applyFont="1" applyBorder="1"/>
    <xf numFmtId="2" fontId="3" fillId="0" borderId="9" xfId="0" applyNumberFormat="1" applyFont="1" applyBorder="1"/>
    <xf numFmtId="2" fontId="3" fillId="0" borderId="0" xfId="0" applyNumberFormat="1" applyFont="1"/>
    <xf numFmtId="0" fontId="3" fillId="0" borderId="13" xfId="0" applyFont="1" applyBorder="1"/>
    <xf numFmtId="43" fontId="3" fillId="0" borderId="13" xfId="0" applyNumberFormat="1" applyFont="1" applyBorder="1"/>
    <xf numFmtId="0" fontId="7" fillId="0" borderId="0" xfId="3" applyFont="1"/>
    <xf numFmtId="0" fontId="8" fillId="0" borderId="0" xfId="0" applyFont="1"/>
    <xf numFmtId="165" fontId="8" fillId="0" borderId="0" xfId="1" applyNumberFormat="1" applyFont="1" applyBorder="1" applyAlignment="1">
      <alignment horizontal="center" vertical="top"/>
    </xf>
    <xf numFmtId="165" fontId="8" fillId="0" borderId="0" xfId="1" applyNumberFormat="1" applyFont="1" applyBorder="1" applyAlignment="1">
      <alignment horizontal="center" vertical="center"/>
    </xf>
    <xf numFmtId="165" fontId="8" fillId="0" borderId="0" xfId="1" applyNumberFormat="1" applyFont="1" applyBorder="1" applyAlignment="1">
      <alignment horizontal="left" vertical="top"/>
    </xf>
    <xf numFmtId="9" fontId="8" fillId="0" borderId="0" xfId="2" applyFont="1"/>
    <xf numFmtId="43" fontId="8" fillId="0" borderId="0" xfId="0" applyNumberFormat="1" applyFont="1"/>
    <xf numFmtId="165" fontId="9" fillId="0" borderId="0" xfId="1" applyNumberFormat="1" applyFont="1" applyBorder="1" applyAlignment="1">
      <alignment horizontal="center" vertical="center"/>
    </xf>
    <xf numFmtId="164" fontId="8" fillId="0" borderId="0" xfId="2" applyNumberFormat="1" applyFont="1"/>
    <xf numFmtId="0" fontId="10" fillId="0" borderId="0" xfId="0" applyFont="1" applyBorder="1"/>
    <xf numFmtId="10" fontId="10" fillId="0" borderId="0" xfId="0" applyNumberFormat="1" applyFont="1" applyBorder="1"/>
    <xf numFmtId="0" fontId="9" fillId="0" borderId="0" xfId="0" applyFont="1"/>
    <xf numFmtId="165" fontId="8" fillId="0" borderId="0" xfId="1" applyNumberFormat="1" applyFont="1" applyFill="1" applyBorder="1" applyAlignment="1">
      <alignment horizontal="center" vertical="center"/>
    </xf>
    <xf numFmtId="165" fontId="9" fillId="0" borderId="0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0" xfId="2" applyNumberFormat="1" applyFont="1" applyAlignment="1">
      <alignment horizontal="center" vertical="center"/>
    </xf>
    <xf numFmtId="9" fontId="9" fillId="0" borderId="0" xfId="2" applyFont="1"/>
    <xf numFmtId="0" fontId="11" fillId="2" borderId="0" xfId="0" applyFont="1" applyFill="1" applyAlignment="1">
      <alignment horizontal="center"/>
    </xf>
    <xf numFmtId="0" fontId="8" fillId="0" borderId="1" xfId="0" applyFont="1" applyBorder="1"/>
    <xf numFmtId="0" fontId="8" fillId="0" borderId="3" xfId="0" applyFont="1" applyBorder="1"/>
    <xf numFmtId="10" fontId="8" fillId="0" borderId="4" xfId="2" applyNumberFormat="1" applyFont="1" applyBorder="1"/>
    <xf numFmtId="165" fontId="8" fillId="0" borderId="4" xfId="0" applyNumberFormat="1" applyFont="1" applyBorder="1"/>
    <xf numFmtId="165" fontId="8" fillId="0" borderId="0" xfId="0" applyNumberFormat="1" applyFont="1"/>
    <xf numFmtId="164" fontId="8" fillId="0" borderId="4" xfId="2" applyNumberFormat="1" applyFont="1" applyBorder="1"/>
    <xf numFmtId="0" fontId="8" fillId="0" borderId="5" xfId="0" applyFont="1" applyBorder="1"/>
    <xf numFmtId="0" fontId="9" fillId="4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64" fontId="8" fillId="0" borderId="2" xfId="2" applyNumberFormat="1" applyFont="1" applyBorder="1"/>
    <xf numFmtId="0" fontId="8" fillId="0" borderId="0" xfId="0" applyFont="1" applyBorder="1"/>
    <xf numFmtId="43" fontId="8" fillId="0" borderId="0" xfId="0" applyNumberFormat="1" applyFont="1" applyBorder="1"/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165" fontId="8" fillId="0" borderId="4" xfId="1" applyNumberFormat="1" applyFont="1" applyBorder="1"/>
    <xf numFmtId="165" fontId="8" fillId="0" borderId="6" xfId="0" applyNumberFormat="1" applyFont="1" applyBorder="1"/>
    <xf numFmtId="165" fontId="8" fillId="0" borderId="16" xfId="0" applyNumberFormat="1" applyFont="1" applyBorder="1"/>
    <xf numFmtId="165" fontId="8" fillId="0" borderId="10" xfId="1" applyNumberFormat="1" applyFont="1" applyBorder="1"/>
    <xf numFmtId="165" fontId="8" fillId="0" borderId="10" xfId="0" applyNumberFormat="1" applyFont="1" applyBorder="1"/>
    <xf numFmtId="165" fontId="8" fillId="0" borderId="11" xfId="1" applyNumberFormat="1" applyFont="1" applyBorder="1"/>
    <xf numFmtId="0" fontId="9" fillId="0" borderId="19" xfId="0" applyFont="1" applyBorder="1"/>
    <xf numFmtId="43" fontId="9" fillId="0" borderId="20" xfId="0" applyNumberFormat="1" applyFont="1" applyBorder="1"/>
    <xf numFmtId="14" fontId="9" fillId="4" borderId="0" xfId="0" applyNumberFormat="1" applyFont="1" applyFill="1" applyAlignment="1">
      <alignment horizontal="center" vertical="center"/>
    </xf>
    <xf numFmtId="0" fontId="0" fillId="0" borderId="23" xfId="0" applyBorder="1"/>
    <xf numFmtId="43" fontId="0" fillId="0" borderId="16" xfId="0" applyNumberFormat="1" applyBorder="1"/>
    <xf numFmtId="0" fontId="0" fillId="0" borderId="21" xfId="0" applyBorder="1"/>
    <xf numFmtId="43" fontId="0" fillId="0" borderId="10" xfId="1" applyFont="1" applyBorder="1"/>
    <xf numFmtId="165" fontId="0" fillId="0" borderId="10" xfId="0" applyNumberFormat="1" applyBorder="1"/>
    <xf numFmtId="0" fontId="3" fillId="0" borderId="21" xfId="0" applyFont="1" applyBorder="1"/>
    <xf numFmtId="0" fontId="5" fillId="0" borderId="21" xfId="0" applyFont="1" applyBorder="1"/>
    <xf numFmtId="0" fontId="5" fillId="0" borderId="22" xfId="0" applyFont="1" applyBorder="1"/>
    <xf numFmtId="166" fontId="0" fillId="0" borderId="11" xfId="0" applyNumberFormat="1" applyBorder="1"/>
    <xf numFmtId="0" fontId="0" fillId="0" borderId="14" xfId="0" applyBorder="1"/>
    <xf numFmtId="0" fontId="0" fillId="0" borderId="20" xfId="0" applyBorder="1"/>
    <xf numFmtId="165" fontId="9" fillId="0" borderId="0" xfId="0" applyNumberFormat="1" applyFont="1"/>
    <xf numFmtId="165" fontId="9" fillId="0" borderId="0" xfId="1" applyNumberFormat="1" applyFont="1"/>
    <xf numFmtId="49" fontId="8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9" fillId="0" borderId="0" xfId="0" applyNumberFormat="1" applyFont="1" applyAlignment="1"/>
    <xf numFmtId="49" fontId="8" fillId="0" borderId="0" xfId="0" applyNumberFormat="1" applyFont="1" applyAlignment="1"/>
  </cellXfs>
  <cellStyles count="4">
    <cellStyle name="Comma" xfId="1" builtinId="3"/>
    <cellStyle name="Hyperlink" xfId="3" builtinId="8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0</xdr:rowOff>
    </xdr:from>
    <xdr:to>
      <xdr:col>15</xdr:col>
      <xdr:colOff>0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5B0CFCF4-256C-F350-3748-04D9F6DEDEB9}"/>
            </a:ext>
          </a:extLst>
        </xdr:cNvPr>
        <xdr:cNvCxnSpPr/>
      </xdr:nvCxnSpPr>
      <xdr:spPr>
        <a:xfrm>
          <a:off x="12700" y="413488"/>
          <a:ext cx="19864277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3646129</xdr:colOff>
      <xdr:row>1</xdr:row>
      <xdr:rowOff>13656</xdr:rowOff>
    </xdr:from>
    <xdr:to>
      <xdr:col>2</xdr:col>
      <xdr:colOff>0</xdr:colOff>
      <xdr:row>43</xdr:row>
      <xdr:rowOff>27312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CEC549E-EC67-9842-4DDE-7E0875CB2E51}"/>
            </a:ext>
          </a:extLst>
        </xdr:cNvPr>
        <xdr:cNvCxnSpPr/>
      </xdr:nvCxnSpPr>
      <xdr:spPr>
        <a:xfrm>
          <a:off x="4465484" y="423333"/>
          <a:ext cx="13656" cy="8616882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isa haji" id="{8B7CCB55-BAC3-4C45-92D1-5DD1B579908F}" userId="S::isa@isahaji.com::6b00b432-1a3c-479f-b468-4323285f85c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3" dT="2025-05-02T17:00:58.47" personId="{8B7CCB55-BAC3-4C45-92D1-5DD1B579908F}" id="{57EDCCC3-F0AB-8E44-90D8-A49742EA42FF}">
    <text>Beyon Annual Report 2024: Page 4 mentions focus on “telco connectivity businesses” and 5G rollout (e.g., via Umniah in Jordan). Consumer segment (page 66) shows growth potential.
Bahrain TRA (Telecommunications Regulatory Authority): Mobile penetration and 5G adoption trends. Link: tra.org.bh
GSMA Mobile Economy Middle East 2025: Forecasts 5G-driven growth in GCC (3–5% CAGR). Link: gsma.com</text>
  </threadedComment>
  <threadedComment ref="P4" dT="2025-05-02T17:02:07.41" personId="{8B7CCB55-BAC3-4C45-92D1-5DD1B579908F}" id="{200654F6-3536-1E45-98D5-9094B6BD2BA6}">
    <text>Beyon Annual Report 2024: Page 4 mentions ICT solutions, but legacy services (like data circuits) are declining as businesses shift to cloud.
Bahrain TRA: Enterprise connectivity trends (decline in legacy circuits). Link: tra.org.bh
Gartner Middle East ICT Forecast 2025: Shift to cloud solutions reducing demand for traditional circuits (0–1% growth). Link: gartner.com</text>
    <extLst>
      <x:ext xmlns:xltc2="http://schemas.microsoft.com/office/spreadsheetml/2020/threadedcomments2" uri="{F7C98A9C-CBB3-438F-8F68-D28B6AF4A901}">
        <xltc2:checksum>3291757616</xltc2:checksum>
        <xltc2:hyperlink startIndex="359" length="11" url="http://gartner.com"/>
      </x:ext>
    </extLst>
  </threadedComment>
  <threadedComment ref="P5" dT="2025-05-02T17:02:38.78" personId="{8B7CCB55-BAC3-4C45-92D1-5DD1B579908F}" id="{C76DE431-E7AC-364B-8CF9-F25A1273ABAE}">
    <text>Beyon Annual Report 2024: Page 4 mentions BNET’s fiber expansion, supporting broadband growth.
    Bahrain TRA: Fixed broadband penetration data. Link: tra.org.bh
    Oxford Economics Bahrain Forecast: Household growth and internet penetration (~2–3% CAGR). Link: oxfordeconomics.com</text>
  </threadedComment>
  <threadedComment ref="P6" dT="2025-05-02T17:03:10.58" personId="{8B7CCB55-BAC3-4C45-92D1-5DD1B579908F}" id="{26F3F8AB-DDE8-3841-BF6A-8F1F7616A518}">
    <text>Beyon Annual Report 2024: No specific mention, but legacy services are declining (inferred from strategy focus on digital).
Bahrain TRA: Fixed-line subscriber decline due to mobile substitution. Link: tra.org.bh
ITU Global Telecom Trends: Fixed-line decline globally (~5% CAGR). Link: itu.int</text>
  </threadedComment>
  <threadedComment ref="P7" dT="2025-05-02T17:03:45.30" personId="{8B7CCB55-BAC3-4C45-92D1-5DD1B579908F}" id="{37FB4014-4991-564E-9058-6065F6333989}">
    <text>Beyon Annual Report 2024: Page 69 (segment info) shows growth in “Others” (81,939 in 2024 vs. 68,135 in 2023), which includes wholesale (e.g., Dhiraagu, Sure Group).
Bahrain TRA: Wholesale demand for 5G backhaul. Link: tra.org.bh
Telegeography Global Bandwidth Report: Rising wholesale demand in GCC (8–10% CAGR). Link: telegeography.com</text>
  </threadedComment>
  <threadedComment ref="P8" dT="2025-05-02T17:04:08.30" personId="{8B7CCB55-BAC3-4C45-92D1-5DD1B579908F}" id="{259A51C7-3028-024D-A648-E664D80A3DA2}">
    <text>Beyon Annual Report 2024: Page 4 highlights digital growth (Beyon Money, Cyber, Connect, Solutions). Page 68 mentions acquisition of Insomna (cybersecurity).
Bahrain EDB: Fintech and digital economy growth in Bahrain (5–7% CAGR). Link: bahrainedb.com
Deloitte Middle East Digital Transformation 2025: Cybersecurity and fintech growth. Link: deloitte.com</text>
  </threadedComment>
  <threadedComment ref="D47" dT="2025-05-02T17:06:47.27" personId="{8B7CCB55-BAC3-4C45-92D1-5DD1B579908F}" id="{E566B570-F0C1-2943-A52F-354C79E66B45}">
    <text xml:space="preserve">https://www.worldgovernmentbonds.com/country/bahrain/
</text>
    <extLst>
      <x:ext xmlns:xltc2="http://schemas.microsoft.com/office/spreadsheetml/2020/threadedcomments2" uri="{F7C98A9C-CBB3-438F-8F68-D28B6AF4A901}">
        <xltc2:checksum>2715679293</xltc2:checksum>
        <xltc2:hyperlink startIndex="0" length="53" url="https://www.worldgovernmentbonds.com/country/bahrain/"/>
      </x:ext>
    </extLs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BF706-1431-E047-94C7-0D02E481A6DC}">
  <dimension ref="C4:E9"/>
  <sheetViews>
    <sheetView workbookViewId="0">
      <selection activeCell="D5" sqref="D5"/>
    </sheetView>
  </sheetViews>
  <sheetFormatPr baseColWidth="10" defaultRowHeight="16" x14ac:dyDescent="0.2"/>
  <cols>
    <col min="4" max="4" width="11.5" bestFit="1" customWidth="1"/>
  </cols>
  <sheetData>
    <row r="4" spans="3:5" x14ac:dyDescent="0.2">
      <c r="C4" s="1" t="s">
        <v>0</v>
      </c>
      <c r="D4">
        <v>0.49</v>
      </c>
    </row>
    <row r="5" spans="3:5" x14ac:dyDescent="0.2">
      <c r="C5" s="1" t="s">
        <v>1</v>
      </c>
      <c r="D5" s="2">
        <v>1663</v>
      </c>
      <c r="E5" t="s">
        <v>2</v>
      </c>
    </row>
    <row r="6" spans="3:5" x14ac:dyDescent="0.2">
      <c r="C6" s="1" t="s">
        <v>3</v>
      </c>
      <c r="D6" s="3">
        <f>D5*D4</f>
        <v>814.87</v>
      </c>
    </row>
    <row r="7" spans="3:5" x14ac:dyDescent="0.2">
      <c r="C7" s="1" t="s">
        <v>4</v>
      </c>
      <c r="D7" s="3">
        <v>144</v>
      </c>
      <c r="E7" t="s">
        <v>2</v>
      </c>
    </row>
    <row r="8" spans="3:5" x14ac:dyDescent="0.2">
      <c r="C8" s="1" t="s">
        <v>5</v>
      </c>
      <c r="D8" s="3">
        <f>273+49+8+12</f>
        <v>342</v>
      </c>
      <c r="E8" t="s">
        <v>2</v>
      </c>
    </row>
    <row r="9" spans="3:5" x14ac:dyDescent="0.2">
      <c r="C9" s="1" t="s">
        <v>6</v>
      </c>
      <c r="D9" s="4">
        <f>+D6-D7+D8</f>
        <v>1012.87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507AC-97F0-1C41-8E24-91023671A9B6}">
  <dimension ref="A1:S63"/>
  <sheetViews>
    <sheetView showGridLines="0" tabSelected="1" zoomScale="106" zoomScaleNormal="86" workbookViewId="0">
      <selection activeCell="I25" sqref="H25:I25"/>
    </sheetView>
  </sheetViews>
  <sheetFormatPr baseColWidth="10" defaultRowHeight="16" x14ac:dyDescent="0.2"/>
  <cols>
    <col min="1" max="1" width="10.83203125" style="28"/>
    <col min="2" max="2" width="48" style="28" customWidth="1"/>
    <col min="3" max="3" width="14.33203125" style="28" bestFit="1" customWidth="1"/>
    <col min="4" max="4" width="16" style="28" customWidth="1"/>
    <col min="5" max="11" width="16.83203125" style="28" bestFit="1" customWidth="1"/>
    <col min="12" max="15" width="13.33203125" style="28" bestFit="1" customWidth="1"/>
    <col min="16" max="17" width="10.83203125" style="28"/>
    <col min="18" max="18" width="13.83203125" style="28" bestFit="1" customWidth="1"/>
    <col min="19" max="19" width="12.83203125" style="28" bestFit="1" customWidth="1"/>
    <col min="20" max="16384" width="10.83203125" style="28"/>
  </cols>
  <sheetData>
    <row r="1" spans="1:19" x14ac:dyDescent="0.2">
      <c r="A1" s="27" t="s">
        <v>7</v>
      </c>
    </row>
    <row r="2" spans="1:19" x14ac:dyDescent="0.2">
      <c r="C2" s="71" t="s">
        <v>23</v>
      </c>
      <c r="D2" s="55" t="s">
        <v>24</v>
      </c>
      <c r="E2" s="55" t="s">
        <v>22</v>
      </c>
      <c r="F2" s="55" t="s">
        <v>21</v>
      </c>
      <c r="G2" s="55" t="s">
        <v>20</v>
      </c>
      <c r="H2" s="55" t="s">
        <v>19</v>
      </c>
      <c r="I2" s="55" t="s">
        <v>18</v>
      </c>
      <c r="J2" s="56" t="s">
        <v>25</v>
      </c>
      <c r="K2" s="56" t="s">
        <v>26</v>
      </c>
      <c r="L2" s="56" t="s">
        <v>27</v>
      </c>
      <c r="M2" s="56" t="s">
        <v>28</v>
      </c>
      <c r="N2" s="56" t="s">
        <v>29</v>
      </c>
      <c r="O2" s="56" t="s">
        <v>30</v>
      </c>
    </row>
    <row r="3" spans="1:19" x14ac:dyDescent="0.2">
      <c r="B3" s="85" t="s">
        <v>87</v>
      </c>
      <c r="C3" s="29">
        <v>200919</v>
      </c>
      <c r="D3" s="29">
        <v>197643</v>
      </c>
      <c r="E3" s="29">
        <v>184320</v>
      </c>
      <c r="F3" s="29">
        <v>185470</v>
      </c>
      <c r="G3" s="29">
        <v>188069</v>
      </c>
      <c r="H3" s="29">
        <v>200366</v>
      </c>
      <c r="I3" s="29">
        <v>210794</v>
      </c>
      <c r="J3" s="30">
        <f>I3*(1+0.02)</f>
        <v>215009.88</v>
      </c>
      <c r="K3" s="30">
        <f t="shared" ref="K3:O3" si="0">J3*(1+0.02)</f>
        <v>219310.07760000002</v>
      </c>
      <c r="L3" s="30">
        <f t="shared" si="0"/>
        <v>223696.27915200003</v>
      </c>
      <c r="M3" s="30">
        <f t="shared" si="0"/>
        <v>228170.20473504002</v>
      </c>
      <c r="N3" s="30">
        <f t="shared" si="0"/>
        <v>232733.60882974084</v>
      </c>
      <c r="O3" s="30">
        <f t="shared" si="0"/>
        <v>237388.28100633566</v>
      </c>
    </row>
    <row r="4" spans="1:19" x14ac:dyDescent="0.2">
      <c r="B4" s="85" t="s">
        <v>88</v>
      </c>
      <c r="C4" s="31">
        <v>73165</v>
      </c>
      <c r="D4" s="31">
        <v>75585</v>
      </c>
      <c r="E4" s="31">
        <v>69569</v>
      </c>
      <c r="F4" s="31">
        <v>69825</v>
      </c>
      <c r="G4" s="31">
        <v>64259</v>
      </c>
      <c r="H4" s="31">
        <v>65037</v>
      </c>
      <c r="I4" s="31">
        <v>69744</v>
      </c>
      <c r="J4" s="30">
        <f>I4*(1-0.005)</f>
        <v>69395.28</v>
      </c>
      <c r="K4" s="30">
        <f t="shared" ref="K4:O4" si="1">J4*(1-0.005)</f>
        <v>69048.303599999999</v>
      </c>
      <c r="L4" s="30">
        <f t="shared" si="1"/>
        <v>68703.062082000004</v>
      </c>
      <c r="M4" s="30">
        <f t="shared" si="1"/>
        <v>68359.546771590001</v>
      </c>
      <c r="N4" s="30">
        <f t="shared" si="1"/>
        <v>68017.74903773205</v>
      </c>
      <c r="O4" s="30">
        <f t="shared" si="1"/>
        <v>67677.660292543384</v>
      </c>
    </row>
    <row r="5" spans="1:19" x14ac:dyDescent="0.2">
      <c r="B5" s="85" t="s">
        <v>89</v>
      </c>
      <c r="C5" s="29">
        <v>60200</v>
      </c>
      <c r="D5" s="29">
        <v>61970</v>
      </c>
      <c r="E5" s="29">
        <v>69703</v>
      </c>
      <c r="F5" s="29">
        <v>77634</v>
      </c>
      <c r="G5" s="29">
        <v>77746</v>
      </c>
      <c r="H5" s="29">
        <v>77484</v>
      </c>
      <c r="I5" s="29">
        <v>75966</v>
      </c>
      <c r="J5" s="30">
        <f>I5*(1+0.03)</f>
        <v>78244.98</v>
      </c>
      <c r="K5" s="30">
        <f t="shared" ref="K5:L5" si="2">J5*(1+0.03)</f>
        <v>80592.329400000002</v>
      </c>
      <c r="L5" s="30">
        <f t="shared" si="2"/>
        <v>83010.09928200001</v>
      </c>
      <c r="M5" s="30">
        <f>L5*(1+0.015)</f>
        <v>84255.250771229999</v>
      </c>
      <c r="N5" s="30">
        <f t="shared" ref="N5:O5" si="3">M5*(1+0.015)</f>
        <v>85519.079532798438</v>
      </c>
      <c r="O5" s="30">
        <f t="shared" si="3"/>
        <v>86801.865725790412</v>
      </c>
    </row>
    <row r="6" spans="1:19" x14ac:dyDescent="0.2">
      <c r="B6" s="85" t="s">
        <v>90</v>
      </c>
      <c r="C6" s="29">
        <v>25045</v>
      </c>
      <c r="D6" s="29">
        <v>23538</v>
      </c>
      <c r="E6" s="29">
        <v>22347</v>
      </c>
      <c r="F6" s="29">
        <v>22076</v>
      </c>
      <c r="G6" s="29">
        <v>19855</v>
      </c>
      <c r="H6" s="29">
        <v>18540</v>
      </c>
      <c r="I6" s="29">
        <v>17511</v>
      </c>
      <c r="J6" s="30">
        <f>I6*(1-0.03)</f>
        <v>16985.669999999998</v>
      </c>
      <c r="K6" s="30">
        <f t="shared" ref="K6:O6" si="4">J6*(1-0.03)</f>
        <v>16476.099899999997</v>
      </c>
      <c r="L6" s="30">
        <f t="shared" si="4"/>
        <v>15981.816902999997</v>
      </c>
      <c r="M6" s="30">
        <f t="shared" si="4"/>
        <v>15502.362395909997</v>
      </c>
      <c r="N6" s="30">
        <f t="shared" si="4"/>
        <v>15037.291524032697</v>
      </c>
      <c r="O6" s="30">
        <f t="shared" si="4"/>
        <v>14586.172778311715</v>
      </c>
      <c r="R6" s="32"/>
      <c r="S6" s="32"/>
    </row>
    <row r="7" spans="1:19" x14ac:dyDescent="0.2">
      <c r="B7" s="85" t="s">
        <v>8</v>
      </c>
      <c r="C7" s="29">
        <v>18636</v>
      </c>
      <c r="D7" s="29">
        <v>17696</v>
      </c>
      <c r="E7" s="29">
        <v>20276</v>
      </c>
      <c r="F7" s="29">
        <v>22128</v>
      </c>
      <c r="G7" s="29">
        <v>26968</v>
      </c>
      <c r="H7" s="29">
        <v>30436</v>
      </c>
      <c r="I7" s="29">
        <v>35199</v>
      </c>
      <c r="J7" s="30">
        <f>I7*(1+0.09)</f>
        <v>38366.910000000003</v>
      </c>
      <c r="K7" s="30">
        <f t="shared" ref="K7:O7" si="5">J7*(1+0.09)</f>
        <v>41819.931900000011</v>
      </c>
      <c r="L7" s="30">
        <f t="shared" si="5"/>
        <v>45583.725771000012</v>
      </c>
      <c r="M7" s="30">
        <f t="shared" si="5"/>
        <v>49686.26109039002</v>
      </c>
      <c r="N7" s="30">
        <f t="shared" si="5"/>
        <v>54158.024588525128</v>
      </c>
      <c r="O7" s="30">
        <f t="shared" si="5"/>
        <v>59032.246801492394</v>
      </c>
    </row>
    <row r="8" spans="1:19" x14ac:dyDescent="0.2">
      <c r="B8" s="85" t="s">
        <v>91</v>
      </c>
      <c r="C8" s="30">
        <v>27888</v>
      </c>
      <c r="D8" s="30">
        <v>0</v>
      </c>
      <c r="E8" s="30">
        <v>0</v>
      </c>
      <c r="F8" s="30">
        <v>22511</v>
      </c>
      <c r="G8" s="30">
        <v>25926</v>
      </c>
      <c r="H8" s="30">
        <v>33041</v>
      </c>
      <c r="I8" s="30">
        <v>30528</v>
      </c>
      <c r="J8" s="30">
        <f>I8*(1+0.03)</f>
        <v>31443.84</v>
      </c>
      <c r="K8" s="30">
        <f t="shared" ref="K8:O8" si="6">J8*(1+0.03)</f>
        <v>32387.155200000001</v>
      </c>
      <c r="L8" s="30">
        <f t="shared" si="6"/>
        <v>33358.769855999999</v>
      </c>
      <c r="M8" s="30">
        <f t="shared" si="6"/>
        <v>34359.532951679997</v>
      </c>
      <c r="N8" s="30">
        <f t="shared" si="6"/>
        <v>35390.318940230398</v>
      </c>
      <c r="O8" s="30">
        <f t="shared" si="6"/>
        <v>36452.02850843731</v>
      </c>
    </row>
    <row r="9" spans="1:19" x14ac:dyDescent="0.2">
      <c r="B9" s="85" t="s">
        <v>92</v>
      </c>
      <c r="C9" s="30">
        <v>0</v>
      </c>
      <c r="D9" s="30">
        <v>25034</v>
      </c>
      <c r="E9" s="30">
        <v>21088</v>
      </c>
      <c r="F9" s="30">
        <v>0</v>
      </c>
      <c r="G9" s="30">
        <v>0</v>
      </c>
      <c r="H9" s="30">
        <v>0</v>
      </c>
      <c r="I9" s="30">
        <v>20243</v>
      </c>
      <c r="J9" s="30">
        <f>I9*(1+0.02)</f>
        <v>20647.86</v>
      </c>
      <c r="K9" s="30">
        <f t="shared" ref="K9:O9" si="7">J9*(1+0.02)</f>
        <v>21060.817200000001</v>
      </c>
      <c r="L9" s="30">
        <f t="shared" si="7"/>
        <v>21482.033544000002</v>
      </c>
      <c r="M9" s="30">
        <f t="shared" si="7"/>
        <v>21911.67421488</v>
      </c>
      <c r="N9" s="30">
        <f t="shared" si="7"/>
        <v>22349.907699177602</v>
      </c>
      <c r="O9" s="30">
        <f t="shared" si="7"/>
        <v>22796.905853161155</v>
      </c>
      <c r="S9" s="33"/>
    </row>
    <row r="10" spans="1:19" x14ac:dyDescent="0.2">
      <c r="B10" s="86" t="s">
        <v>9</v>
      </c>
      <c r="C10" s="34">
        <f t="shared" ref="C10" si="8">SUM(C3:C9)</f>
        <v>405853</v>
      </c>
      <c r="D10" s="34">
        <f t="shared" ref="D10" si="9">SUM(D3:D9)</f>
        <v>401466</v>
      </c>
      <c r="E10" s="34">
        <f t="shared" ref="E10" si="10">SUM(E3:E9)</f>
        <v>387303</v>
      </c>
      <c r="F10" s="34">
        <f t="shared" ref="F10" si="11">SUM(F3:F9)</f>
        <v>399644</v>
      </c>
      <c r="G10" s="34">
        <f t="shared" ref="G10" si="12">SUM(G3:G9)</f>
        <v>402823</v>
      </c>
      <c r="H10" s="34">
        <f t="shared" ref="H10" si="13">SUM(H3:H9)</f>
        <v>424904</v>
      </c>
      <c r="I10" s="34">
        <f>SUM(I3:I9)</f>
        <v>459985</v>
      </c>
      <c r="J10" s="34">
        <f t="shared" ref="J10:O10" si="14">SUM(J3:J9)</f>
        <v>470094.42</v>
      </c>
      <c r="K10" s="34">
        <f t="shared" si="14"/>
        <v>480694.71479999996</v>
      </c>
      <c r="L10" s="34">
        <f t="shared" si="14"/>
        <v>491815.78659000003</v>
      </c>
      <c r="M10" s="34">
        <f t="shared" si="14"/>
        <v>502244.83293072012</v>
      </c>
      <c r="N10" s="34">
        <f t="shared" si="14"/>
        <v>513205.98015223723</v>
      </c>
      <c r="O10" s="34">
        <f t="shared" si="14"/>
        <v>524735.16096607212</v>
      </c>
    </row>
    <row r="11" spans="1:19" x14ac:dyDescent="0.2">
      <c r="B11" s="85" t="s">
        <v>93</v>
      </c>
      <c r="C11" s="30">
        <v>-61314</v>
      </c>
      <c r="D11" s="30">
        <v>-59774</v>
      </c>
      <c r="E11" s="30">
        <v>-53623</v>
      </c>
      <c r="F11" s="30">
        <v>-46831</v>
      </c>
      <c r="G11" s="30">
        <v>-46018</v>
      </c>
      <c r="H11" s="30">
        <v>-49866</v>
      </c>
      <c r="I11" s="30">
        <v>-54011</v>
      </c>
      <c r="J11" s="30">
        <f>I11*(1+0.042)</f>
        <v>-56279.462</v>
      </c>
      <c r="K11" s="30">
        <f t="shared" ref="K11:O11" si="15">J11*(1+0.042)</f>
        <v>-58643.199403999999</v>
      </c>
      <c r="L11" s="30">
        <f t="shared" si="15"/>
        <v>-61106.213778967998</v>
      </c>
      <c r="M11" s="30">
        <f t="shared" si="15"/>
        <v>-63672.674757684654</v>
      </c>
      <c r="N11" s="30">
        <f t="shared" si="15"/>
        <v>-66346.927097507418</v>
      </c>
      <c r="O11" s="30">
        <f t="shared" si="15"/>
        <v>-69133.498035602737</v>
      </c>
    </row>
    <row r="12" spans="1:19" x14ac:dyDescent="0.2">
      <c r="B12" s="85" t="s">
        <v>94</v>
      </c>
      <c r="C12" s="30">
        <v>-57688</v>
      </c>
      <c r="D12" s="30">
        <v>-51933</v>
      </c>
      <c r="E12" s="30">
        <v>-51365</v>
      </c>
      <c r="F12" s="30">
        <v>-52636</v>
      </c>
      <c r="G12" s="30">
        <v>-53428</v>
      </c>
      <c r="H12" s="30">
        <v>-63855</v>
      </c>
      <c r="I12" s="30">
        <v>-72673</v>
      </c>
      <c r="J12" s="30">
        <f>I12*(1+0.07)</f>
        <v>-77760.11</v>
      </c>
      <c r="K12" s="30">
        <f t="shared" ref="K12:O12" si="16">J12*(1+0.07)</f>
        <v>-83203.3177</v>
      </c>
      <c r="L12" s="30">
        <f t="shared" si="16"/>
        <v>-89027.549939000004</v>
      </c>
      <c r="M12" s="30">
        <f t="shared" si="16"/>
        <v>-95259.478434730016</v>
      </c>
      <c r="N12" s="30">
        <f t="shared" si="16"/>
        <v>-101927.64192516112</v>
      </c>
      <c r="O12" s="30">
        <f t="shared" si="16"/>
        <v>-109062.57685992241</v>
      </c>
      <c r="S12" s="35"/>
    </row>
    <row r="13" spans="1:19" x14ac:dyDescent="0.2">
      <c r="B13" s="85" t="s">
        <v>95</v>
      </c>
      <c r="C13" s="30">
        <v>-22563</v>
      </c>
      <c r="D13" s="30">
        <v>-22788</v>
      </c>
      <c r="E13" s="30">
        <v>-18313</v>
      </c>
      <c r="F13" s="30">
        <v>-18187</v>
      </c>
      <c r="G13" s="30">
        <v>-17195</v>
      </c>
      <c r="H13" s="30">
        <v>-22344</v>
      </c>
      <c r="I13" s="30">
        <v>-22328</v>
      </c>
      <c r="J13" s="30">
        <f>I13*(1+0.06)</f>
        <v>-23667.68</v>
      </c>
      <c r="K13" s="30">
        <f t="shared" ref="K13:O13" si="17">J13*(1+0.06)</f>
        <v>-25087.740800000003</v>
      </c>
      <c r="L13" s="30">
        <f t="shared" si="17"/>
        <v>-26593.005248000005</v>
      </c>
      <c r="M13" s="30">
        <f t="shared" si="17"/>
        <v>-28188.585562880005</v>
      </c>
      <c r="N13" s="30">
        <f t="shared" si="17"/>
        <v>-29879.900696652807</v>
      </c>
      <c r="O13" s="30">
        <f t="shared" si="17"/>
        <v>-31672.694738451977</v>
      </c>
    </row>
    <row r="14" spans="1:19" x14ac:dyDescent="0.2">
      <c r="B14" s="85" t="s">
        <v>96</v>
      </c>
      <c r="C14" s="30">
        <v>-6400</v>
      </c>
      <c r="D14" s="30">
        <v>-7454</v>
      </c>
      <c r="E14" s="30">
        <v>-7151</v>
      </c>
      <c r="F14" s="30">
        <v>-7195</v>
      </c>
      <c r="G14" s="30">
        <v>-8584</v>
      </c>
      <c r="H14" s="30">
        <v>-9325</v>
      </c>
      <c r="I14" s="30">
        <v>-11600</v>
      </c>
      <c r="J14" s="30">
        <f>I14*(1+0.06)</f>
        <v>-12296</v>
      </c>
      <c r="K14" s="30">
        <f t="shared" ref="K14:O14" si="18">J14*(1+0.06)</f>
        <v>-13033.76</v>
      </c>
      <c r="L14" s="30">
        <f t="shared" si="18"/>
        <v>-13815.785600000001</v>
      </c>
      <c r="M14" s="30">
        <f t="shared" si="18"/>
        <v>-14644.732736000002</v>
      </c>
      <c r="N14" s="30">
        <f t="shared" si="18"/>
        <v>-15523.416700160004</v>
      </c>
      <c r="O14" s="30">
        <f t="shared" si="18"/>
        <v>-16454.821702169604</v>
      </c>
    </row>
    <row r="15" spans="1:19" x14ac:dyDescent="0.2">
      <c r="B15" s="85" t="s">
        <v>97</v>
      </c>
      <c r="C15" s="30">
        <v>-12213</v>
      </c>
      <c r="D15" s="30">
        <v>-6064</v>
      </c>
      <c r="E15" s="30">
        <v>-4594</v>
      </c>
      <c r="F15" s="30">
        <v>-5357</v>
      </c>
      <c r="G15" s="30">
        <v>-5017</v>
      </c>
      <c r="H15" s="30">
        <v>-4650</v>
      </c>
      <c r="I15" s="30">
        <v>-5213</v>
      </c>
      <c r="J15" s="30">
        <f>I15*(1+0.02)</f>
        <v>-5317.26</v>
      </c>
      <c r="K15" s="30">
        <f t="shared" ref="K15:O15" si="19">J15*(1+0.02)</f>
        <v>-5423.6052</v>
      </c>
      <c r="L15" s="30">
        <f t="shared" si="19"/>
        <v>-5532.0773040000004</v>
      </c>
      <c r="M15" s="30">
        <f t="shared" si="19"/>
        <v>-5642.7188500800003</v>
      </c>
      <c r="N15" s="30">
        <f t="shared" si="19"/>
        <v>-5755.5732270816006</v>
      </c>
      <c r="O15" s="30">
        <f t="shared" si="19"/>
        <v>-5870.6846916232325</v>
      </c>
      <c r="R15" s="36"/>
      <c r="S15" s="37"/>
    </row>
    <row r="16" spans="1:19" x14ac:dyDescent="0.2">
      <c r="B16" s="87" t="s">
        <v>10</v>
      </c>
      <c r="C16" s="34">
        <f>SUM(C11:C15)</f>
        <v>-160178</v>
      </c>
      <c r="D16" s="34">
        <f t="shared" ref="D16" si="20">SUM(D11:D15)</f>
        <v>-148013</v>
      </c>
      <c r="E16" s="34">
        <f>SUM(E11:E15)</f>
        <v>-135046</v>
      </c>
      <c r="F16" s="34">
        <f t="shared" ref="F16" si="21">SUM(F11:F15)</f>
        <v>-130206</v>
      </c>
      <c r="G16" s="34">
        <f t="shared" ref="G16" si="22">SUM(G11:G15)</f>
        <v>-130242</v>
      </c>
      <c r="H16" s="34">
        <f t="shared" ref="H16" si="23">SUM(H11:H15)</f>
        <v>-150040</v>
      </c>
      <c r="I16" s="34">
        <f>SUM(I11:I15)</f>
        <v>-165825</v>
      </c>
      <c r="J16" s="34">
        <f>SUM(J11:J15)</f>
        <v>-175320.51199999999</v>
      </c>
      <c r="K16" s="34">
        <f t="shared" ref="K16:O16" si="24">SUM(K11:K15)</f>
        <v>-185391.623104</v>
      </c>
      <c r="L16" s="34">
        <f t="shared" si="24"/>
        <v>-196074.63186996803</v>
      </c>
      <c r="M16" s="34">
        <f t="shared" si="24"/>
        <v>-207408.19034137469</v>
      </c>
      <c r="N16" s="34">
        <f t="shared" si="24"/>
        <v>-219433.45964656293</v>
      </c>
      <c r="O16" s="34">
        <f t="shared" si="24"/>
        <v>-232194.27602776996</v>
      </c>
    </row>
    <row r="17" spans="2:17" x14ac:dyDescent="0.2">
      <c r="B17" s="88" t="s">
        <v>98</v>
      </c>
      <c r="C17" s="30">
        <f>C16+C10</f>
        <v>245675</v>
      </c>
      <c r="D17" s="30">
        <f t="shared" ref="D17" si="25">D16+D10</f>
        <v>253453</v>
      </c>
      <c r="E17" s="30">
        <f t="shared" ref="E17" si="26">E16+E10</f>
        <v>252257</v>
      </c>
      <c r="F17" s="30">
        <f>F16+F10</f>
        <v>269438</v>
      </c>
      <c r="G17" s="30">
        <f t="shared" ref="G17" si="27">G16+G10</f>
        <v>272581</v>
      </c>
      <c r="H17" s="30">
        <f t="shared" ref="H17" si="28">H16+H10</f>
        <v>274864</v>
      </c>
      <c r="I17" s="30">
        <f>I16+I10</f>
        <v>294160</v>
      </c>
      <c r="J17" s="30">
        <f t="shared" ref="J17:O17" si="29">J16+J10</f>
        <v>294773.908</v>
      </c>
      <c r="K17" s="30">
        <f t="shared" si="29"/>
        <v>295303.09169599996</v>
      </c>
      <c r="L17" s="30">
        <f t="shared" si="29"/>
        <v>295741.15472003201</v>
      </c>
      <c r="M17" s="30">
        <f t="shared" si="29"/>
        <v>294836.64258934546</v>
      </c>
      <c r="N17" s="30">
        <f t="shared" si="29"/>
        <v>293772.5205056743</v>
      </c>
      <c r="O17" s="30">
        <f t="shared" si="29"/>
        <v>292540.88493830216</v>
      </c>
    </row>
    <row r="18" spans="2:17" x14ac:dyDescent="0.2">
      <c r="B18" s="85" t="s">
        <v>99</v>
      </c>
      <c r="C18" s="30">
        <v>-16673</v>
      </c>
      <c r="D18" s="30">
        <v>-12735</v>
      </c>
      <c r="E18" s="30">
        <v>-12534</v>
      </c>
      <c r="F18" s="30">
        <v>-14487</v>
      </c>
      <c r="G18" s="30">
        <v>-16382</v>
      </c>
      <c r="H18" s="30">
        <v>-16212</v>
      </c>
      <c r="I18" s="30">
        <v>-16143</v>
      </c>
      <c r="J18" s="30">
        <f>I18*(1+0.02)</f>
        <v>-16465.86</v>
      </c>
      <c r="K18" s="30">
        <f t="shared" ref="K18:O18" si="30">J18*(1+0.02)</f>
        <v>-16795.177200000002</v>
      </c>
      <c r="L18" s="30">
        <f t="shared" si="30"/>
        <v>-17131.080744000003</v>
      </c>
      <c r="M18" s="30">
        <f t="shared" si="30"/>
        <v>-17473.702358880004</v>
      </c>
      <c r="N18" s="30">
        <f t="shared" si="30"/>
        <v>-17823.176406057606</v>
      </c>
      <c r="O18" s="30">
        <f t="shared" si="30"/>
        <v>-18179.639934178758</v>
      </c>
    </row>
    <row r="19" spans="2:17" x14ac:dyDescent="0.2">
      <c r="B19" s="85" t="s">
        <v>100</v>
      </c>
      <c r="C19" s="30">
        <v>-6399</v>
      </c>
      <c r="D19" s="30">
        <v>-6545</v>
      </c>
      <c r="E19" s="30">
        <v>-10166</v>
      </c>
      <c r="F19" s="30">
        <v>-12740</v>
      </c>
      <c r="G19" s="30">
        <v>-17125</v>
      </c>
      <c r="H19" s="30">
        <v>-11602</v>
      </c>
      <c r="I19" s="30">
        <v>-12212</v>
      </c>
      <c r="J19" s="30">
        <f>I19*(1+0.02)</f>
        <v>-12456.24</v>
      </c>
      <c r="K19" s="30">
        <f t="shared" ref="K19:O19" si="31">J19*(1+0.02)</f>
        <v>-12705.364799999999</v>
      </c>
      <c r="L19" s="30">
        <f t="shared" si="31"/>
        <v>-12959.472096</v>
      </c>
      <c r="M19" s="30">
        <f t="shared" si="31"/>
        <v>-13218.661537919999</v>
      </c>
      <c r="N19" s="30">
        <f t="shared" si="31"/>
        <v>-13483.034768678399</v>
      </c>
      <c r="O19" s="30">
        <f t="shared" si="31"/>
        <v>-13752.695464051967</v>
      </c>
    </row>
    <row r="20" spans="2:17" x14ac:dyDescent="0.2">
      <c r="B20" s="85" t="s">
        <v>101</v>
      </c>
      <c r="C20" s="30">
        <v>-3672</v>
      </c>
      <c r="D20" s="30">
        <v>-6972</v>
      </c>
      <c r="E20" s="30">
        <v>-5701</v>
      </c>
      <c r="F20" s="30">
        <v>-6159</v>
      </c>
      <c r="G20" s="30">
        <v>-4192</v>
      </c>
      <c r="H20" s="30">
        <v>-4842</v>
      </c>
      <c r="I20" s="30">
        <f>H20*(1+0.02)</f>
        <v>-4938.84</v>
      </c>
      <c r="J20" s="30">
        <f t="shared" ref="J20:O22" si="32">I20*(1+0.02)</f>
        <v>-5037.6167999999998</v>
      </c>
      <c r="K20" s="30">
        <f t="shared" si="32"/>
        <v>-5138.3691360000003</v>
      </c>
      <c r="L20" s="30">
        <f t="shared" si="32"/>
        <v>-5241.1365187199999</v>
      </c>
      <c r="M20" s="30">
        <f t="shared" si="32"/>
        <v>-5345.9592490943996</v>
      </c>
      <c r="N20" s="30">
        <f t="shared" si="32"/>
        <v>-5452.8784340762877</v>
      </c>
      <c r="O20" s="30">
        <f t="shared" si="32"/>
        <v>-5561.9360027578132</v>
      </c>
    </row>
    <row r="21" spans="2:17" x14ac:dyDescent="0.2">
      <c r="B21" s="85" t="s">
        <v>102</v>
      </c>
      <c r="C21" s="30">
        <v>-5311</v>
      </c>
      <c r="D21" s="30">
        <v>-4146</v>
      </c>
      <c r="E21" s="30">
        <v>-4302</v>
      </c>
      <c r="F21" s="30">
        <v>-3448</v>
      </c>
      <c r="G21" s="30">
        <v>-2881</v>
      </c>
      <c r="H21" s="30">
        <v>-1877</v>
      </c>
      <c r="I21" s="30">
        <v>-3073</v>
      </c>
      <c r="J21" s="30">
        <f>I21*(1+0.04)</f>
        <v>-3195.92</v>
      </c>
      <c r="K21" s="30">
        <f t="shared" ref="K21:O21" si="33">J21*(1+0.04)</f>
        <v>-3323.7568000000001</v>
      </c>
      <c r="L21" s="30">
        <f t="shared" si="33"/>
        <v>-3456.7070720000002</v>
      </c>
      <c r="M21" s="30">
        <f t="shared" si="33"/>
        <v>-3594.9753548800004</v>
      </c>
      <c r="N21" s="30">
        <f t="shared" si="33"/>
        <v>-3738.7743690752004</v>
      </c>
      <c r="O21" s="30">
        <f t="shared" si="33"/>
        <v>-3888.3253438382085</v>
      </c>
    </row>
    <row r="22" spans="2:17" x14ac:dyDescent="0.2">
      <c r="B22" s="85" t="s">
        <v>103</v>
      </c>
      <c r="C22" s="30">
        <v>-56286</v>
      </c>
      <c r="D22" s="30">
        <v>-55496</v>
      </c>
      <c r="E22" s="30">
        <v>-51236</v>
      </c>
      <c r="F22" s="30">
        <v>-53152</v>
      </c>
      <c r="G22" s="30">
        <v>-53246</v>
      </c>
      <c r="H22" s="30">
        <v>-55518</v>
      </c>
      <c r="I22" s="30">
        <v>-60577</v>
      </c>
      <c r="J22" s="30">
        <f>I22*(1+0.09)</f>
        <v>-66028.930000000008</v>
      </c>
      <c r="K22" s="30">
        <f t="shared" ref="K22:O22" si="34">J22*(1+0.09)</f>
        <v>-71971.533700000015</v>
      </c>
      <c r="L22" s="30">
        <f t="shared" si="34"/>
        <v>-78448.971733000028</v>
      </c>
      <c r="M22" s="30">
        <f t="shared" si="34"/>
        <v>-85509.379188970037</v>
      </c>
      <c r="N22" s="30">
        <f t="shared" si="34"/>
        <v>-93205.223315977346</v>
      </c>
      <c r="O22" s="30">
        <f t="shared" si="34"/>
        <v>-101593.69341441532</v>
      </c>
    </row>
    <row r="23" spans="2:17" x14ac:dyDescent="0.2">
      <c r="B23" s="85" t="s">
        <v>104</v>
      </c>
      <c r="C23" s="30">
        <v>-6815</v>
      </c>
      <c r="D23" s="30">
        <v>-5670</v>
      </c>
      <c r="E23" s="30">
        <v>-5459</v>
      </c>
      <c r="F23" s="30">
        <v>-5682</v>
      </c>
      <c r="G23" s="30">
        <v>-4897</v>
      </c>
      <c r="H23" s="30">
        <v>-5025</v>
      </c>
      <c r="I23" s="30">
        <f t="shared" ref="I23:O24" si="35">H23*(1+0.02)</f>
        <v>-5125.5</v>
      </c>
      <c r="J23" s="30">
        <f t="shared" si="35"/>
        <v>-5228.01</v>
      </c>
      <c r="K23" s="30">
        <f t="shared" si="35"/>
        <v>-5332.5702000000001</v>
      </c>
      <c r="L23" s="30">
        <f t="shared" si="35"/>
        <v>-5439.2216040000003</v>
      </c>
      <c r="M23" s="30">
        <f t="shared" si="35"/>
        <v>-5548.0060360800007</v>
      </c>
      <c r="N23" s="30">
        <f t="shared" si="35"/>
        <v>-5658.9661568016008</v>
      </c>
      <c r="O23" s="30">
        <f t="shared" si="35"/>
        <v>-5772.1454799376334</v>
      </c>
    </row>
    <row r="24" spans="2:17" x14ac:dyDescent="0.2">
      <c r="B24" s="85" t="s">
        <v>105</v>
      </c>
      <c r="C24" s="39">
        <v>-7680</v>
      </c>
      <c r="D24" s="30">
        <f>-9122-11094</f>
        <v>-20216</v>
      </c>
      <c r="E24" s="30">
        <v>-8175</v>
      </c>
      <c r="F24" s="30">
        <v>-8677</v>
      </c>
      <c r="G24" s="30">
        <v>-8470</v>
      </c>
      <c r="H24" s="30">
        <v>-8735</v>
      </c>
      <c r="I24" s="30">
        <f t="shared" si="35"/>
        <v>-8909.7000000000007</v>
      </c>
      <c r="J24" s="30">
        <f t="shared" si="35"/>
        <v>-9087.8940000000002</v>
      </c>
      <c r="K24" s="30">
        <f t="shared" si="35"/>
        <v>-9269.6518800000013</v>
      </c>
      <c r="L24" s="30">
        <f t="shared" si="35"/>
        <v>-9455.044917600002</v>
      </c>
      <c r="M24" s="30">
        <f t="shared" si="35"/>
        <v>-9644.1458159520025</v>
      </c>
      <c r="N24" s="30">
        <f t="shared" si="35"/>
        <v>-9837.0287322710428</v>
      </c>
      <c r="O24" s="30">
        <f t="shared" si="35"/>
        <v>-10033.769306916463</v>
      </c>
      <c r="Q24" s="32"/>
    </row>
    <row r="25" spans="2:17" x14ac:dyDescent="0.2">
      <c r="B25" s="38" t="s">
        <v>12</v>
      </c>
      <c r="C25" s="34">
        <f>SUM(C18:C24)+C28</f>
        <v>-172933</v>
      </c>
      <c r="D25" s="34">
        <f>SUM(D18:D24)+D28</f>
        <v>-178001</v>
      </c>
      <c r="E25" s="34">
        <f>SUM(E18:E24)+E28</f>
        <v>-171325</v>
      </c>
      <c r="F25" s="34">
        <f>SUM(F18:F24)+F28</f>
        <v>-178162</v>
      </c>
      <c r="G25" s="34">
        <f t="shared" ref="G25" si="36">SUM(G18:G24)+G28</f>
        <v>-178951</v>
      </c>
      <c r="H25" s="34">
        <f>SUM(H18:H24)+H28</f>
        <v>-170899</v>
      </c>
      <c r="I25" s="34">
        <f>SUM(I18:I24)+I28</f>
        <v>-184928.03999999998</v>
      </c>
      <c r="J25" s="34">
        <f>SUM(J18:J24)+J28</f>
        <v>-188455.04222857143</v>
      </c>
      <c r="K25" s="34">
        <f t="shared" ref="J25:O25" si="37">SUM(K18:K24)+K28</f>
        <v>-195613.50534865307</v>
      </c>
      <c r="L25" s="34">
        <f t="shared" si="37"/>
        <v>-203902.44226549496</v>
      </c>
      <c r="M25" s="34">
        <f t="shared" si="37"/>
        <v>-211822.60963340494</v>
      </c>
      <c r="N25" s="34">
        <f t="shared" si="37"/>
        <v>-220354.11657337003</v>
      </c>
      <c r="O25" s="34">
        <f t="shared" si="37"/>
        <v>-229851.10139230476</v>
      </c>
    </row>
    <row r="26" spans="2:17" s="38" customFormat="1" x14ac:dyDescent="0.2">
      <c r="B26" s="38" t="s">
        <v>86</v>
      </c>
      <c r="C26" s="34">
        <f>C25+C16+C10</f>
        <v>72742</v>
      </c>
      <c r="D26" s="40">
        <f>D25+D16+D10</f>
        <v>75452</v>
      </c>
      <c r="E26" s="34">
        <f t="shared" ref="E26:H26" si="38">E25+E16+E10</f>
        <v>80932</v>
      </c>
      <c r="F26" s="34">
        <f>F25+F16+F10</f>
        <v>91276</v>
      </c>
      <c r="G26" s="34">
        <f t="shared" si="38"/>
        <v>93630</v>
      </c>
      <c r="H26" s="34">
        <f t="shared" si="38"/>
        <v>103965</v>
      </c>
      <c r="I26" s="34">
        <f>I25+I16+I10</f>
        <v>109231.96000000002</v>
      </c>
      <c r="J26" s="34">
        <f>J25+J16+J10</f>
        <v>106318.86577142857</v>
      </c>
      <c r="K26" s="34">
        <f t="shared" ref="J26:O26" si="39">K25+K16+K10</f>
        <v>99689.586347346893</v>
      </c>
      <c r="L26" s="34">
        <f t="shared" si="39"/>
        <v>91838.712454537046</v>
      </c>
      <c r="M26" s="34">
        <f t="shared" si="39"/>
        <v>83014.032955940522</v>
      </c>
      <c r="N26" s="34">
        <f t="shared" si="39"/>
        <v>73418.403932304238</v>
      </c>
      <c r="O26" s="34">
        <f t="shared" si="39"/>
        <v>62689.783545997401</v>
      </c>
    </row>
    <row r="27" spans="2:17" x14ac:dyDescent="0.2"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41"/>
      <c r="O27" s="41"/>
    </row>
    <row r="28" spans="2:17" x14ac:dyDescent="0.2">
      <c r="B28" s="28" t="s">
        <v>11</v>
      </c>
      <c r="C28" s="30">
        <v>-70097</v>
      </c>
      <c r="D28" s="30">
        <v>-66221</v>
      </c>
      <c r="E28" s="30">
        <v>-73752</v>
      </c>
      <c r="F28" s="30">
        <v>-73817</v>
      </c>
      <c r="G28" s="30">
        <v>-71758</v>
      </c>
      <c r="H28" s="30">
        <v>-67088</v>
      </c>
      <c r="I28" s="30">
        <v>-73949</v>
      </c>
      <c r="J28" s="30">
        <f>AVERAGE(C28:I28)</f>
        <v>-70954.571428571435</v>
      </c>
      <c r="K28" s="30">
        <f t="shared" ref="K28:O29" si="40">AVERAGE(D28:J28)</f>
        <v>-71077.081632653062</v>
      </c>
      <c r="L28" s="30">
        <f t="shared" si="40"/>
        <v>-71770.807580174922</v>
      </c>
      <c r="M28" s="30">
        <f t="shared" si="40"/>
        <v>-71487.78009162849</v>
      </c>
      <c r="N28" s="30">
        <f t="shared" si="40"/>
        <v>-71155.034390432556</v>
      </c>
      <c r="O28" s="30">
        <f t="shared" si="40"/>
        <v>-71068.89644620863</v>
      </c>
    </row>
    <row r="29" spans="2:17" x14ac:dyDescent="0.2">
      <c r="B29" s="28" t="s">
        <v>32</v>
      </c>
      <c r="C29" s="30">
        <v>-48286</v>
      </c>
      <c r="D29" s="30">
        <v>-79412</v>
      </c>
      <c r="E29" s="30">
        <v>-61760</v>
      </c>
      <c r="F29" s="30">
        <v>-68672</v>
      </c>
      <c r="G29" s="30">
        <v>-64789</v>
      </c>
      <c r="H29" s="30">
        <v>-125109</v>
      </c>
      <c r="I29" s="30">
        <v>-140689</v>
      </c>
      <c r="J29" s="30">
        <f t="shared" ref="J29" si="41">AVERAGE(C29:I29)</f>
        <v>-84102.428571428565</v>
      </c>
      <c r="K29" s="30">
        <f t="shared" si="40"/>
        <v>-89219.061224489793</v>
      </c>
      <c r="L29" s="30">
        <f t="shared" si="40"/>
        <v>-90620.069970845478</v>
      </c>
      <c r="M29" s="30">
        <f t="shared" si="40"/>
        <v>-94742.937109537685</v>
      </c>
      <c r="N29" s="30">
        <f t="shared" si="40"/>
        <v>-98467.356696614501</v>
      </c>
      <c r="O29" s="30">
        <f t="shared" si="40"/>
        <v>-103278.55051041658</v>
      </c>
    </row>
    <row r="30" spans="2:17" x14ac:dyDescent="0.2">
      <c r="B30" s="28" t="s">
        <v>33</v>
      </c>
      <c r="C30" s="30">
        <f>-15996+995-10240</f>
        <v>-25241</v>
      </c>
      <c r="D30" s="30">
        <f>-9850-1613+16861</f>
        <v>5398</v>
      </c>
      <c r="E30" s="30">
        <f>153466-158986</f>
        <v>-5520</v>
      </c>
      <c r="F30" s="30">
        <f>177872-166421</f>
        <v>11451</v>
      </c>
      <c r="G30" s="30">
        <f>-169153--168269</f>
        <v>-884</v>
      </c>
      <c r="H30" s="30">
        <f>176831-172930</f>
        <v>3901</v>
      </c>
      <c r="I30" s="30">
        <f>184685-186509</f>
        <v>-1824</v>
      </c>
      <c r="J30" s="30">
        <f>AVERAGE(C30:I30)</f>
        <v>-1817</v>
      </c>
      <c r="K30" s="30">
        <f t="shared" ref="K30:O30" si="42">AVERAGE(D30:J30)</f>
        <v>1529.2857142857142</v>
      </c>
      <c r="L30" s="30">
        <f>AVERAGE(E30:K30)</f>
        <v>976.61224489795916</v>
      </c>
      <c r="M30" s="30">
        <f t="shared" si="42"/>
        <v>1904.6997084548104</v>
      </c>
      <c r="N30" s="30">
        <f t="shared" si="42"/>
        <v>540.94252394835473</v>
      </c>
      <c r="O30" s="30">
        <f t="shared" si="42"/>
        <v>744.50574165526257</v>
      </c>
    </row>
    <row r="31" spans="2:17" x14ac:dyDescent="0.2"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3"/>
      <c r="O31" s="43"/>
    </row>
    <row r="32" spans="2:17" x14ac:dyDescent="0.2">
      <c r="C32" s="30">
        <v>124525</v>
      </c>
      <c r="D32" s="30">
        <v>136901</v>
      </c>
      <c r="E32" s="30">
        <v>87212</v>
      </c>
      <c r="F32" s="30">
        <v>84158</v>
      </c>
      <c r="G32" s="30">
        <v>84679</v>
      </c>
      <c r="H32" s="30">
        <v>78167</v>
      </c>
      <c r="I32" s="30">
        <v>99219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</row>
    <row r="33" spans="2:15" x14ac:dyDescent="0.2">
      <c r="B33" s="28" t="s">
        <v>13</v>
      </c>
      <c r="C33" s="30">
        <v>6659</v>
      </c>
      <c r="D33" s="30">
        <v>8221</v>
      </c>
      <c r="E33" s="30">
        <v>8255</v>
      </c>
      <c r="F33" s="30">
        <v>8784</v>
      </c>
      <c r="G33" s="30">
        <v>5582</v>
      </c>
      <c r="H33" s="30">
        <v>7433</v>
      </c>
      <c r="I33" s="30">
        <v>7872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</row>
    <row r="34" spans="2:15" x14ac:dyDescent="0.2">
      <c r="B34" s="28" t="s">
        <v>14</v>
      </c>
      <c r="C34" s="30">
        <v>35925</v>
      </c>
      <c r="D34" s="30">
        <v>74167</v>
      </c>
      <c r="E34" s="30">
        <v>68869</v>
      </c>
      <c r="F34" s="30">
        <v>75379</v>
      </c>
      <c r="G34" s="30">
        <v>128468</v>
      </c>
      <c r="H34" s="30">
        <v>131242</v>
      </c>
      <c r="I34" s="30">
        <v>128204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</row>
    <row r="35" spans="2:15" x14ac:dyDescent="0.2">
      <c r="B35" s="28" t="s">
        <v>15</v>
      </c>
      <c r="C35" s="30">
        <f>211902+24878</f>
        <v>236780</v>
      </c>
      <c r="D35" s="30">
        <f>37642+38854+6562+198840</f>
        <v>281898</v>
      </c>
      <c r="E35" s="30">
        <v>223629</v>
      </c>
      <c r="F35" s="30">
        <v>226873</v>
      </c>
      <c r="G35" s="30">
        <v>233494</v>
      </c>
      <c r="H35" s="30">
        <v>254894</v>
      </c>
      <c r="I35" s="30">
        <v>286070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</row>
    <row r="36" spans="2:15" x14ac:dyDescent="0.2">
      <c r="B36" s="28" t="s">
        <v>16</v>
      </c>
      <c r="C36" s="30">
        <v>465248</v>
      </c>
      <c r="D36" s="30">
        <v>473110</v>
      </c>
      <c r="E36" s="30">
        <v>473168</v>
      </c>
      <c r="F36" s="30">
        <v>489596</v>
      </c>
      <c r="G36" s="30">
        <v>496367</v>
      </c>
      <c r="H36" s="30">
        <v>532311</v>
      </c>
      <c r="I36" s="30">
        <v>564241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</row>
    <row r="37" spans="2:15" x14ac:dyDescent="0.2">
      <c r="B37" s="28" t="s">
        <v>17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</row>
    <row r="38" spans="2:15" x14ac:dyDescent="0.2">
      <c r="C38" s="44"/>
      <c r="D38" s="45">
        <f>D10/C10-1</f>
        <v>-1.0809332443027397E-2</v>
      </c>
      <c r="E38" s="45">
        <f t="shared" ref="E38:H38" si="43">E10/D10-1</f>
        <v>-3.5278205377292204E-2</v>
      </c>
      <c r="F38" s="45">
        <f>F10/E10-1</f>
        <v>3.1863941152017849E-2</v>
      </c>
      <c r="G38" s="45">
        <f t="shared" si="43"/>
        <v>7.9545795758224624E-3</v>
      </c>
      <c r="H38" s="45">
        <f t="shared" si="43"/>
        <v>5.4815638630366204E-2</v>
      </c>
      <c r="I38" s="45">
        <f>I10/H10-1</f>
        <v>8.2562178750964943E-2</v>
      </c>
      <c r="J38" s="45">
        <f>J10/I10-1</f>
        <v>2.1977716664673741E-2</v>
      </c>
      <c r="K38" s="45">
        <f t="shared" ref="K38:O38" si="44">K10/J10-1</f>
        <v>2.2549288715232985E-2</v>
      </c>
      <c r="L38" s="45">
        <f t="shared" si="44"/>
        <v>2.3135415155598693E-2</v>
      </c>
      <c r="M38" s="45">
        <f t="shared" si="44"/>
        <v>2.1205188253573093E-2</v>
      </c>
      <c r="N38" s="45">
        <f>N10/M10-1</f>
        <v>2.1824310580869755E-2</v>
      </c>
      <c r="O38" s="45">
        <f t="shared" si="44"/>
        <v>2.2465016503538937E-2</v>
      </c>
    </row>
    <row r="39" spans="2:15" x14ac:dyDescent="0.2">
      <c r="B39" s="28" t="s">
        <v>31</v>
      </c>
      <c r="J39" s="33"/>
    </row>
    <row r="40" spans="2:15" x14ac:dyDescent="0.2">
      <c r="B40" s="28" t="s">
        <v>35</v>
      </c>
      <c r="C40" s="35">
        <f>C26/C10</f>
        <v>0.17923238216792781</v>
      </c>
      <c r="D40" s="35">
        <f t="shared" ref="D40:O40" si="45">D26/D10</f>
        <v>0.18794119551842497</v>
      </c>
      <c r="E40" s="35">
        <f t="shared" si="45"/>
        <v>0.20896300829066647</v>
      </c>
      <c r="F40" s="35">
        <f>F26/F10</f>
        <v>0.22839327001030918</v>
      </c>
      <c r="G40" s="35">
        <f t="shared" si="45"/>
        <v>0.2324345928608843</v>
      </c>
      <c r="H40" s="35">
        <f t="shared" si="45"/>
        <v>0.24467879803437953</v>
      </c>
      <c r="I40" s="35">
        <f t="shared" si="45"/>
        <v>0.23746852614759181</v>
      </c>
      <c r="J40" s="35">
        <f>J26/J10</f>
        <v>0.22616491761682381</v>
      </c>
      <c r="K40" s="35">
        <f t="shared" si="45"/>
        <v>0.20738648310045221</v>
      </c>
      <c r="L40" s="35">
        <f t="shared" si="45"/>
        <v>0.18673396616912172</v>
      </c>
      <c r="M40" s="35">
        <f t="shared" si="45"/>
        <v>0.16528598705841044</v>
      </c>
      <c r="N40" s="35">
        <f>N26/N10</f>
        <v>0.14305835623841606</v>
      </c>
      <c r="O40" s="35">
        <f t="shared" si="45"/>
        <v>0.11946937847767122</v>
      </c>
    </row>
    <row r="41" spans="2:15" x14ac:dyDescent="0.2">
      <c r="J41" s="33"/>
    </row>
    <row r="42" spans="2:15" s="38" customFormat="1" x14ac:dyDescent="0.2">
      <c r="B42" s="38" t="s">
        <v>34</v>
      </c>
      <c r="D42" s="46"/>
      <c r="J42" s="83">
        <f>I26+I28-I29+I30</f>
        <v>174147.96000000002</v>
      </c>
      <c r="K42" s="83">
        <f t="shared" ref="K42:O42" si="46">J26+J28-J29+J30</f>
        <v>117649.7229142857</v>
      </c>
      <c r="L42" s="83">
        <f t="shared" si="46"/>
        <v>119360.85165346933</v>
      </c>
      <c r="M42" s="83">
        <f t="shared" si="46"/>
        <v>111664.58709010556</v>
      </c>
      <c r="N42" s="83">
        <f t="shared" si="46"/>
        <v>108173.88968230452</v>
      </c>
      <c r="O42" s="83">
        <f t="shared" si="46"/>
        <v>101271.66876243454</v>
      </c>
    </row>
    <row r="43" spans="2:15" x14ac:dyDescent="0.2">
      <c r="B43" s="38" t="s">
        <v>41</v>
      </c>
      <c r="J43" s="84">
        <f>(1/(1+C50)^1)*J42</f>
        <v>156916.31857258471</v>
      </c>
      <c r="K43" s="84">
        <f>(1/(1+C50)^2)*K42</f>
        <v>95519.127525068776</v>
      </c>
      <c r="L43" s="84">
        <f>(1/(1+C50)^3)*L42</f>
        <v>87319.465026210572</v>
      </c>
      <c r="M43" s="84">
        <f>(1/(1+C50)^4)*M42</f>
        <v>73606.190423487133</v>
      </c>
      <c r="N43" s="84">
        <f>(1/(1+C50)^5)*N42</f>
        <v>64249.690786287327</v>
      </c>
      <c r="O43" s="84">
        <f>(1/(1+C50)^6)*O42</f>
        <v>54198.376954695115</v>
      </c>
    </row>
    <row r="46" spans="2:15" x14ac:dyDescent="0.2">
      <c r="B46" s="47" t="s">
        <v>84</v>
      </c>
      <c r="C46" s="47"/>
    </row>
    <row r="47" spans="2:15" x14ac:dyDescent="0.2">
      <c r="B47" s="48" t="s">
        <v>38</v>
      </c>
      <c r="C47" s="57">
        <v>0.13</v>
      </c>
    </row>
    <row r="48" spans="2:15" x14ac:dyDescent="0.2">
      <c r="B48" s="49" t="s">
        <v>39</v>
      </c>
      <c r="C48" s="53">
        <v>7.0000000000000007E-2</v>
      </c>
    </row>
    <row r="49" spans="2:9" x14ac:dyDescent="0.2">
      <c r="B49" s="49" t="s">
        <v>75</v>
      </c>
      <c r="C49" s="51">
        <f>I36+I35</f>
        <v>850311</v>
      </c>
      <c r="I49" s="52"/>
    </row>
    <row r="50" spans="2:9" x14ac:dyDescent="0.2">
      <c r="B50" s="49" t="s">
        <v>36</v>
      </c>
      <c r="C50" s="50">
        <f>((I36/C49)*C47)+((I35/C49)*C48*(1-0))</f>
        <v>0.10981420915406245</v>
      </c>
    </row>
    <row r="51" spans="2:9" x14ac:dyDescent="0.2">
      <c r="B51" s="49" t="s">
        <v>37</v>
      </c>
      <c r="C51" s="53">
        <v>0.02</v>
      </c>
    </row>
    <row r="52" spans="2:9" x14ac:dyDescent="0.2">
      <c r="B52" s="49" t="s">
        <v>40</v>
      </c>
      <c r="C52" s="63">
        <f>SUM(J43:O43)</f>
        <v>531809.16928833362</v>
      </c>
    </row>
    <row r="53" spans="2:9" x14ac:dyDescent="0.2">
      <c r="B53" s="49" t="s">
        <v>42</v>
      </c>
      <c r="C53" s="51">
        <f>(O42*(1+C51))/(C50-C51)</f>
        <v>1150119.8208013272</v>
      </c>
    </row>
    <row r="54" spans="2:9" x14ac:dyDescent="0.2">
      <c r="B54" s="54" t="s">
        <v>43</v>
      </c>
      <c r="C54" s="64">
        <f>(1/(1+C50)^6)*C53</f>
        <v>615518.9141504399</v>
      </c>
    </row>
    <row r="55" spans="2:9" x14ac:dyDescent="0.2">
      <c r="B55" s="58"/>
      <c r="C55" s="59"/>
    </row>
    <row r="56" spans="2:9" x14ac:dyDescent="0.2">
      <c r="B56" s="58"/>
      <c r="C56" s="59"/>
    </row>
    <row r="57" spans="2:9" x14ac:dyDescent="0.2">
      <c r="B57" s="58"/>
      <c r="C57" s="59"/>
    </row>
    <row r="58" spans="2:9" x14ac:dyDescent="0.2">
      <c r="B58" s="47" t="s">
        <v>85</v>
      </c>
      <c r="C58" s="47"/>
    </row>
    <row r="59" spans="2:9" x14ac:dyDescent="0.2">
      <c r="B59" s="60" t="s">
        <v>6</v>
      </c>
      <c r="C59" s="65">
        <f>C54+C52</f>
        <v>1147328.0834387736</v>
      </c>
    </row>
    <row r="60" spans="2:9" x14ac:dyDescent="0.2">
      <c r="B60" s="61" t="s">
        <v>44</v>
      </c>
      <c r="C60" s="66">
        <v>220080</v>
      </c>
    </row>
    <row r="61" spans="2:9" x14ac:dyDescent="0.2">
      <c r="B61" s="61" t="s">
        <v>45</v>
      </c>
      <c r="C61" s="67">
        <f>C59-C60</f>
        <v>927248.08343877364</v>
      </c>
    </row>
    <row r="62" spans="2:9" x14ac:dyDescent="0.2">
      <c r="B62" s="62" t="s">
        <v>1</v>
      </c>
      <c r="C62" s="68">
        <v>1663200</v>
      </c>
    </row>
    <row r="63" spans="2:9" x14ac:dyDescent="0.2">
      <c r="B63" s="69" t="s">
        <v>46</v>
      </c>
      <c r="C63" s="70">
        <f>C61/C62</f>
        <v>0.55750846767603035</v>
      </c>
    </row>
  </sheetData>
  <mergeCells count="2">
    <mergeCell ref="B46:C46"/>
    <mergeCell ref="B58:C58"/>
  </mergeCells>
  <hyperlinks>
    <hyperlink ref="A1" location="Main!A1" display="Main" xr:uid="{72CCB71F-2D6F-444A-8C60-F9CC1A2A774B}"/>
  </hyperlinks>
  <pageMargins left="0.7" right="0.7" top="0.75" bottom="0.75" header="0.3" footer="0.3"/>
  <pageSetup paperSize="9" orientation="portrait" horizontalDpi="0" verticalDpi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DBD6B-DDCE-A345-B4C5-E664D5AAB2F4}">
  <dimension ref="A1:D40"/>
  <sheetViews>
    <sheetView showGridLines="0" workbookViewId="0">
      <pane xSplit="2" topLeftCell="C1" activePane="topRight" state="frozen"/>
      <selection pane="topRight" activeCell="C37" sqref="C37"/>
    </sheetView>
  </sheetViews>
  <sheetFormatPr baseColWidth="10" defaultRowHeight="16" x14ac:dyDescent="0.2"/>
  <cols>
    <col min="2" max="2" width="29.5" bestFit="1" customWidth="1"/>
    <col min="3" max="3" width="15.1640625" style="12" bestFit="1" customWidth="1"/>
    <col min="4" max="4" width="12.5" bestFit="1" customWidth="1"/>
  </cols>
  <sheetData>
    <row r="1" spans="1:3" x14ac:dyDescent="0.2">
      <c r="A1" s="8" t="s">
        <v>7</v>
      </c>
    </row>
    <row r="3" spans="1:3" s="10" customFormat="1" x14ac:dyDescent="0.2">
      <c r="B3" s="11"/>
      <c r="C3" s="13" t="s">
        <v>18</v>
      </c>
    </row>
    <row r="4" spans="1:3" x14ac:dyDescent="0.2">
      <c r="B4" s="5" t="s">
        <v>47</v>
      </c>
    </row>
    <row r="5" spans="1:3" x14ac:dyDescent="0.2">
      <c r="B5" t="s">
        <v>48</v>
      </c>
      <c r="C5" s="14">
        <v>424570</v>
      </c>
    </row>
    <row r="6" spans="1:3" x14ac:dyDescent="0.2">
      <c r="B6" t="s">
        <v>49</v>
      </c>
      <c r="C6" s="14">
        <v>58163</v>
      </c>
    </row>
    <row r="7" spans="1:3" x14ac:dyDescent="0.2">
      <c r="B7" t="s">
        <v>50</v>
      </c>
      <c r="C7" s="14">
        <v>163420</v>
      </c>
    </row>
    <row r="8" spans="1:3" x14ac:dyDescent="0.2">
      <c r="B8" t="s">
        <v>51</v>
      </c>
      <c r="C8" s="14">
        <v>167385</v>
      </c>
    </row>
    <row r="9" spans="1:3" x14ac:dyDescent="0.2">
      <c r="B9" t="s">
        <v>52</v>
      </c>
      <c r="C9" s="14">
        <v>10401</v>
      </c>
    </row>
    <row r="10" spans="1:3" x14ac:dyDescent="0.2">
      <c r="B10" t="s">
        <v>53</v>
      </c>
      <c r="C10" s="14">
        <v>5682</v>
      </c>
    </row>
    <row r="11" spans="1:3" x14ac:dyDescent="0.2">
      <c r="B11" t="s">
        <v>54</v>
      </c>
      <c r="C11" s="14">
        <v>68131</v>
      </c>
    </row>
    <row r="12" spans="1:3" x14ac:dyDescent="0.2">
      <c r="B12" t="s">
        <v>55</v>
      </c>
      <c r="C12" s="14">
        <v>12139</v>
      </c>
    </row>
    <row r="13" spans="1:3" x14ac:dyDescent="0.2">
      <c r="B13" s="5" t="s">
        <v>56</v>
      </c>
      <c r="C13" s="14">
        <f>SUM(C5:C12)</f>
        <v>909891</v>
      </c>
    </row>
    <row r="14" spans="1:3" x14ac:dyDescent="0.2">
      <c r="B14" s="5" t="s">
        <v>57</v>
      </c>
      <c r="C14" s="14"/>
    </row>
    <row r="15" spans="1:3" x14ac:dyDescent="0.2">
      <c r="B15" t="s">
        <v>58</v>
      </c>
      <c r="C15" s="14">
        <v>7872</v>
      </c>
    </row>
    <row r="16" spans="1:3" x14ac:dyDescent="0.2">
      <c r="B16" t="s">
        <v>59</v>
      </c>
      <c r="C16" s="14">
        <v>164865</v>
      </c>
    </row>
    <row r="17" spans="2:3" x14ac:dyDescent="0.2">
      <c r="B17" t="s">
        <v>54</v>
      </c>
      <c r="C17" s="14">
        <v>29321</v>
      </c>
    </row>
    <row r="18" spans="2:3" x14ac:dyDescent="0.2">
      <c r="B18" t="s">
        <v>60</v>
      </c>
      <c r="C18" s="14">
        <v>144060</v>
      </c>
    </row>
    <row r="19" spans="2:3" x14ac:dyDescent="0.2">
      <c r="B19" s="5" t="s">
        <v>61</v>
      </c>
      <c r="C19" s="14">
        <f>SUM(C15:C18)</f>
        <v>346118</v>
      </c>
    </row>
    <row r="20" spans="2:3" s="7" customFormat="1" x14ac:dyDescent="0.2">
      <c r="B20" s="7" t="s">
        <v>62</v>
      </c>
      <c r="C20" s="15">
        <f>C19+C13</f>
        <v>1256009</v>
      </c>
    </row>
    <row r="21" spans="2:3" x14ac:dyDescent="0.2">
      <c r="B21" s="5" t="s">
        <v>63</v>
      </c>
      <c r="C21" s="14"/>
    </row>
    <row r="22" spans="2:3" x14ac:dyDescent="0.2">
      <c r="B22" t="s">
        <v>64</v>
      </c>
      <c r="C22" s="14">
        <v>57633</v>
      </c>
    </row>
    <row r="23" spans="2:3" x14ac:dyDescent="0.2">
      <c r="B23" t="s">
        <v>65</v>
      </c>
      <c r="C23" s="14">
        <v>49317</v>
      </c>
    </row>
    <row r="24" spans="2:3" x14ac:dyDescent="0.2">
      <c r="B24" t="s">
        <v>66</v>
      </c>
      <c r="C24" s="14">
        <v>273272</v>
      </c>
    </row>
    <row r="25" spans="2:3" x14ac:dyDescent="0.2">
      <c r="B25" t="s">
        <v>67</v>
      </c>
      <c r="C25" s="14">
        <v>5319</v>
      </c>
    </row>
    <row r="26" spans="2:3" x14ac:dyDescent="0.2">
      <c r="B26" s="5" t="s">
        <v>68</v>
      </c>
      <c r="C26" s="14">
        <f>SUM(C22:C25)</f>
        <v>385541</v>
      </c>
    </row>
    <row r="27" spans="2:3" x14ac:dyDescent="0.2">
      <c r="B27" s="5" t="s">
        <v>69</v>
      </c>
      <c r="C27" s="14"/>
    </row>
    <row r="28" spans="2:3" x14ac:dyDescent="0.2">
      <c r="B28" t="s">
        <v>64</v>
      </c>
      <c r="C28" s="14">
        <v>227747</v>
      </c>
    </row>
    <row r="29" spans="2:3" x14ac:dyDescent="0.2">
      <c r="B29" t="s">
        <v>65</v>
      </c>
      <c r="C29" s="14">
        <v>8090</v>
      </c>
    </row>
    <row r="30" spans="2:3" x14ac:dyDescent="0.2">
      <c r="B30" t="s">
        <v>66</v>
      </c>
      <c r="C30" s="14">
        <v>12798</v>
      </c>
    </row>
    <row r="31" spans="2:3" x14ac:dyDescent="0.2">
      <c r="B31" s="5" t="s">
        <v>70</v>
      </c>
      <c r="C31" s="14">
        <f>SUM(C28:C30)</f>
        <v>248635</v>
      </c>
    </row>
    <row r="32" spans="2:3" s="7" customFormat="1" x14ac:dyDescent="0.2">
      <c r="B32" s="7" t="s">
        <v>71</v>
      </c>
      <c r="C32" s="15">
        <f>C31+C26</f>
        <v>634176</v>
      </c>
    </row>
    <row r="33" spans="2:4" s="7" customFormat="1" x14ac:dyDescent="0.2">
      <c r="B33" s="7" t="s">
        <v>72</v>
      </c>
      <c r="C33" s="15">
        <f>C20-C32</f>
        <v>621833</v>
      </c>
    </row>
    <row r="34" spans="2:4" x14ac:dyDescent="0.2">
      <c r="D34" s="6"/>
    </row>
    <row r="35" spans="2:4" x14ac:dyDescent="0.2">
      <c r="D35" s="4"/>
    </row>
    <row r="37" spans="2:4" x14ac:dyDescent="0.2">
      <c r="B37" t="s">
        <v>1</v>
      </c>
      <c r="C37" s="16">
        <v>1663000</v>
      </c>
    </row>
    <row r="38" spans="2:4" x14ac:dyDescent="0.2">
      <c r="B38" s="7" t="s">
        <v>73</v>
      </c>
      <c r="C38" s="17">
        <f>C33/C37</f>
        <v>0.37392242934455805</v>
      </c>
    </row>
    <row r="40" spans="2:4" x14ac:dyDescent="0.2">
      <c r="B40" t="s">
        <v>74</v>
      </c>
      <c r="C40" s="18">
        <f>Main!D4/'Book Value'!C38</f>
        <v>1.3104322221561093</v>
      </c>
    </row>
  </sheetData>
  <hyperlinks>
    <hyperlink ref="A1" location="Main!A1" display="Main" xr:uid="{0E2A674D-EB7A-5F4A-8B08-EA4942F8F2E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866C0-3E3B-7042-889A-11B9548A041A}">
  <dimension ref="A1:C7"/>
  <sheetViews>
    <sheetView showGridLines="0" workbookViewId="0">
      <pane xSplit="2" topLeftCell="C1" activePane="topRight" state="frozen"/>
      <selection pane="topRight" activeCell="F35" sqref="F35"/>
    </sheetView>
  </sheetViews>
  <sheetFormatPr baseColWidth="10" defaultRowHeight="16" x14ac:dyDescent="0.2"/>
  <cols>
    <col min="2" max="2" width="10.6640625" style="12" bestFit="1" customWidth="1"/>
    <col min="3" max="3" width="13" bestFit="1" customWidth="1"/>
  </cols>
  <sheetData>
    <row r="1" spans="1:3" x14ac:dyDescent="0.2">
      <c r="A1" s="8" t="s">
        <v>7</v>
      </c>
    </row>
    <row r="2" spans="1:3" s="10" customFormat="1" x14ac:dyDescent="0.2">
      <c r="B2" s="20"/>
      <c r="C2" s="10">
        <v>2025</v>
      </c>
    </row>
    <row r="3" spans="1:3" x14ac:dyDescent="0.2">
      <c r="B3" s="12" t="s">
        <v>46</v>
      </c>
      <c r="C3" s="3">
        <v>0.6</v>
      </c>
    </row>
    <row r="4" spans="1:3" x14ac:dyDescent="0.2">
      <c r="B4" s="12" t="s">
        <v>1</v>
      </c>
      <c r="C4" s="9">
        <v>1663200</v>
      </c>
    </row>
    <row r="6" spans="1:3" ht="17" thickBot="1" x14ac:dyDescent="0.25">
      <c r="B6" s="21" t="s">
        <v>76</v>
      </c>
      <c r="C6" s="19">
        <f>C4*C3</f>
        <v>997920</v>
      </c>
    </row>
    <row r="7" spans="1:3" ht="17" thickTop="1" x14ac:dyDescent="0.2"/>
  </sheetData>
  <hyperlinks>
    <hyperlink ref="A1" location="Main!A1" display="Main" xr:uid="{2B11C723-4102-904D-948D-7DD93CFFA356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D8031-78D2-F24C-ACE9-3FF6EA356F6F}">
  <dimension ref="A1:C17"/>
  <sheetViews>
    <sheetView showGridLines="0" workbookViewId="0">
      <selection activeCell="B18" sqref="B18"/>
    </sheetView>
  </sheetViews>
  <sheetFormatPr baseColWidth="10" defaultRowHeight="16" x14ac:dyDescent="0.2"/>
  <cols>
    <col min="2" max="2" width="10.5" bestFit="1" customWidth="1"/>
    <col min="3" max="3" width="12.5" bestFit="1" customWidth="1"/>
  </cols>
  <sheetData>
    <row r="1" spans="1:3" x14ac:dyDescent="0.2">
      <c r="A1" s="8" t="s">
        <v>7</v>
      </c>
      <c r="B1" s="12"/>
    </row>
    <row r="2" spans="1:3" s="10" customFormat="1" x14ac:dyDescent="0.2">
      <c r="B2" s="81"/>
      <c r="C2" s="82">
        <v>2025</v>
      </c>
    </row>
    <row r="3" spans="1:3" x14ac:dyDescent="0.2">
      <c r="B3" s="72" t="s">
        <v>46</v>
      </c>
      <c r="C3" s="73">
        <f>'Market Cap'!C3</f>
        <v>0.6</v>
      </c>
    </row>
    <row r="4" spans="1:3" x14ac:dyDescent="0.2">
      <c r="B4" s="74" t="s">
        <v>76</v>
      </c>
      <c r="C4" s="14">
        <f>'Market Cap'!C6</f>
        <v>997920</v>
      </c>
    </row>
    <row r="5" spans="1:3" x14ac:dyDescent="0.2">
      <c r="B5" s="74" t="s">
        <v>77</v>
      </c>
      <c r="C5" s="75">
        <v>72.8</v>
      </c>
    </row>
    <row r="6" spans="1:3" x14ac:dyDescent="0.2">
      <c r="B6" s="74" t="s">
        <v>9</v>
      </c>
      <c r="C6" s="14">
        <f>DCF!I10</f>
        <v>459985</v>
      </c>
    </row>
    <row r="7" spans="1:3" x14ac:dyDescent="0.2">
      <c r="B7" s="74" t="s">
        <v>44</v>
      </c>
      <c r="C7" s="76">
        <f>DCF!C60</f>
        <v>220080</v>
      </c>
    </row>
    <row r="8" spans="1:3" x14ac:dyDescent="0.2">
      <c r="B8" s="74" t="s">
        <v>4</v>
      </c>
      <c r="C8" s="76">
        <v>144060</v>
      </c>
    </row>
    <row r="9" spans="1:3" x14ac:dyDescent="0.2">
      <c r="B9" s="77" t="s">
        <v>6</v>
      </c>
      <c r="C9" s="76">
        <f>C4+C7-C8</f>
        <v>1073940</v>
      </c>
    </row>
    <row r="10" spans="1:3" x14ac:dyDescent="0.2">
      <c r="B10" s="78" t="s">
        <v>79</v>
      </c>
      <c r="C10" s="76">
        <v>183400</v>
      </c>
    </row>
    <row r="11" spans="1:3" x14ac:dyDescent="0.2">
      <c r="B11" s="79" t="s">
        <v>81</v>
      </c>
      <c r="C11" s="80">
        <v>4.3999999999999997E-2</v>
      </c>
    </row>
    <row r="13" spans="1:3" x14ac:dyDescent="0.2">
      <c r="B13" s="22" t="s">
        <v>78</v>
      </c>
      <c r="C13" s="23">
        <f>C9/C10</f>
        <v>5.8557251908396948</v>
      </c>
    </row>
    <row r="14" spans="1:3" x14ac:dyDescent="0.2">
      <c r="B14" s="7" t="s">
        <v>80</v>
      </c>
      <c r="C14" s="24">
        <f>C3/C11</f>
        <v>13.636363636363637</v>
      </c>
    </row>
    <row r="15" spans="1:3" x14ac:dyDescent="0.2">
      <c r="B15" s="7" t="s">
        <v>82</v>
      </c>
      <c r="C15" s="24">
        <f>C4/C6</f>
        <v>2.1694620476754678</v>
      </c>
    </row>
    <row r="16" spans="1:3" ht="17" thickBot="1" x14ac:dyDescent="0.25">
      <c r="B16" s="25" t="s">
        <v>83</v>
      </c>
      <c r="C16" s="26">
        <f>'Book Value'!C40</f>
        <v>1.3104322221561093</v>
      </c>
    </row>
    <row r="17" ht="17" thickTop="1" x14ac:dyDescent="0.2"/>
  </sheetData>
  <hyperlinks>
    <hyperlink ref="A1" location="Main!A1" display="Main" xr:uid="{C176332F-19F4-3E43-8260-02C5891D787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Main</vt:lpstr>
      <vt:lpstr>DCF</vt:lpstr>
      <vt:lpstr>Book Value</vt:lpstr>
      <vt:lpstr>Market Cap</vt:lpstr>
      <vt:lpstr>Valuations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haji</dc:creator>
  <cp:lastModifiedBy>isa haji</cp:lastModifiedBy>
  <dcterms:created xsi:type="dcterms:W3CDTF">2025-04-15T21:11:59Z</dcterms:created>
  <dcterms:modified xsi:type="dcterms:W3CDTF">2025-05-02T18:05:28Z</dcterms:modified>
</cp:coreProperties>
</file>